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tmp" ContentType="image/png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drawings/drawing4.xml" ContentType="application/vnd.openxmlformats-officedocument.drawing+xml"/>
  <Override PartName="/xl/comments2.xml" ContentType="application/vnd.openxmlformats-officedocument.spreadsheetml.comments+xml"/>
  <Override PartName="/xl/threadedComments/threadedComment2.xml" ContentType="application/vnd.ms-excel.threadedcomments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omments3.xml" ContentType="application/vnd.openxmlformats-officedocument.spreadsheetml.comments+xml"/>
  <Override PartName="/xl/threadedComments/threadedComment3.xml" ContentType="application/vnd.ms-excel.threadedcomments+xml"/>
  <Override PartName="/xl/drawings/drawing7.xml" ContentType="application/vnd.openxmlformats-officedocument.drawing+xml"/>
  <Override PartName="/xl/comments4.xml" ContentType="application/vnd.openxmlformats-officedocument.spreadsheetml.comments+xml"/>
  <Override PartName="/xl/threadedComments/threadedComment4.xml" ContentType="application/vnd.ms-excel.threadedcomments+xml"/>
  <Override PartName="/xl/drawings/drawing8.xml" ContentType="application/vnd.openxmlformats-officedocument.drawing+xml"/>
  <Override PartName="/xl/comments5.xml" ContentType="application/vnd.openxmlformats-officedocument.spreadsheetml.comments+xml"/>
  <Override PartName="/xl/threadedComments/threadedComment5.xml" ContentType="application/vnd.ms-excel.threadedcomments+xml"/>
  <Override PartName="/xl/drawings/drawing9.xml" ContentType="application/vnd.openxmlformats-officedocument.drawing+xml"/>
  <Override PartName="/xl/comments6.xml" ContentType="application/vnd.openxmlformats-officedocument.spreadsheetml.comments+xml"/>
  <Override PartName="/xl/threadedComments/threadedComment6.xml" ContentType="application/vnd.ms-excel.threadedcomments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comments7.xml" ContentType="application/vnd.openxmlformats-officedocument.spreadsheetml.comments+xml"/>
  <Override PartName="/xl/threadedComments/threadedComment7.xml" ContentType="application/vnd.ms-excel.threadedcomments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.docs.live.net/fe7bc3f5977252ca/UIS/Recursos para proyectos de grado/"/>
    </mc:Choice>
  </mc:AlternateContent>
  <xr:revisionPtr revIDLastSave="11" documentId="13_ncr:1_{3555821D-74B8-4CBD-B90C-A64A206EF2F7}" xr6:coauthVersionLast="47" xr6:coauthVersionMax="47" xr10:uidLastSave="{0BA34305-8411-4345-80FB-DF6B385C8932}"/>
  <bookViews>
    <workbookView xWindow="-120" yWindow="-120" windowWidth="29040" windowHeight="15720" tabRatio="926" activeTab="11" xr2:uid="{00000000-000D-0000-FFFF-FFFF00000000}"/>
  </bookViews>
  <sheets>
    <sheet name="INICIO" sheetId="16" r:id="rId1"/>
    <sheet name="EST.MERCADOS" sheetId="15" r:id="rId2"/>
    <sheet name="EST.TÉCNICO" sheetId="1" r:id="rId3"/>
    <sheet name="INVERSIÓN" sheetId="2" r:id="rId4"/>
    <sheet name="CRÉDITO" sheetId="3" r:id="rId5"/>
    <sheet name="CTP" sheetId="12" r:id="rId6"/>
    <sheet name="GAV" sheetId="5" r:id="rId7"/>
    <sheet name="PRECIO" sheetId="7" r:id="rId8"/>
    <sheet name="ESTADO" sheetId="8" r:id="rId9"/>
    <sheet name="FLUJO" sheetId="9" r:id="rId10"/>
    <sheet name="EST SIT FIN" sheetId="14" r:id="rId11"/>
    <sheet name="EVAL" sheetId="10" r:id="rId1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47" i="5" l="1"/>
  <c r="D86" i="12"/>
  <c r="D13" i="14"/>
  <c r="E13" i="14"/>
  <c r="F13" i="14" s="1"/>
  <c r="G13" i="14" s="1"/>
  <c r="D14" i="14"/>
  <c r="E14" i="14"/>
  <c r="F14" i="14" s="1"/>
  <c r="G14" i="14" s="1"/>
  <c r="C14" i="14"/>
  <c r="C13" i="14"/>
  <c r="B14" i="14"/>
  <c r="B13" i="14"/>
  <c r="M36" i="10"/>
  <c r="N36" i="10"/>
  <c r="O36" i="10"/>
  <c r="P36" i="10"/>
  <c r="L36" i="10"/>
  <c r="E21" i="2"/>
  <c r="C96" i="12"/>
  <c r="C95" i="12"/>
  <c r="D95" i="12" s="1"/>
  <c r="D83" i="12"/>
  <c r="D82" i="12"/>
  <c r="E2" i="3"/>
  <c r="C44" i="5"/>
  <c r="C35" i="5"/>
  <c r="C34" i="5"/>
  <c r="C33" i="5"/>
  <c r="C32" i="5"/>
  <c r="D31" i="5"/>
  <c r="C43" i="5"/>
  <c r="D43" i="5" s="1"/>
  <c r="C85" i="12"/>
  <c r="D85" i="12" s="1"/>
  <c r="C78" i="12"/>
  <c r="D72" i="12"/>
  <c r="C81" i="12"/>
  <c r="C80" i="12"/>
  <c r="D80" i="12" s="1"/>
  <c r="C79" i="12"/>
  <c r="E88" i="1"/>
  <c r="F88" i="1"/>
  <c r="D88" i="1"/>
  <c r="C97" i="12" l="1"/>
  <c r="D97" i="12" s="1"/>
  <c r="D69" i="12"/>
  <c r="C27" i="5" s="1"/>
  <c r="D27" i="5" s="1"/>
  <c r="B29" i="9"/>
  <c r="B28" i="9"/>
  <c r="E71" i="12"/>
  <c r="P17" i="5"/>
  <c r="O17" i="5"/>
  <c r="N17" i="5"/>
  <c r="M17" i="5"/>
  <c r="L17" i="5"/>
  <c r="H17" i="5"/>
  <c r="G17" i="5"/>
  <c r="F17" i="5"/>
  <c r="E17" i="5"/>
  <c r="D17" i="5"/>
  <c r="H17" i="12"/>
  <c r="G17" i="12"/>
  <c r="F17" i="12"/>
  <c r="E17" i="12"/>
  <c r="D17" i="12"/>
  <c r="D71" i="12"/>
  <c r="B9" i="10"/>
  <c r="C88" i="1"/>
  <c r="F31" i="14"/>
  <c r="C4" i="3"/>
  <c r="D54" i="3"/>
  <c r="F4" i="3" l="1"/>
  <c r="I44" i="2" s="1"/>
  <c r="D39" i="5"/>
  <c r="B55" i="12"/>
  <c r="C55" i="12"/>
  <c r="B56" i="12"/>
  <c r="C56" i="12"/>
  <c r="B57" i="12"/>
  <c r="C57" i="12"/>
  <c r="B58" i="12"/>
  <c r="C58" i="12"/>
  <c r="B59" i="12"/>
  <c r="C59" i="12"/>
  <c r="B60" i="12"/>
  <c r="C60" i="12"/>
  <c r="B61" i="12"/>
  <c r="C61" i="12"/>
  <c r="D100" i="12" l="1"/>
  <c r="D87" i="12"/>
  <c r="A82" i="2" l="1"/>
  <c r="B82" i="2"/>
  <c r="D82" i="2" s="1"/>
  <c r="E82" i="2" s="1"/>
  <c r="A81" i="2"/>
  <c r="B81" i="2"/>
  <c r="D81" i="2" s="1"/>
  <c r="E81" i="2" s="1"/>
  <c r="A55" i="2"/>
  <c r="B55" i="2"/>
  <c r="D55" i="2" s="1"/>
  <c r="E55" i="2" s="1"/>
  <c r="A56" i="2"/>
  <c r="B56" i="2"/>
  <c r="D56" i="2" s="1"/>
  <c r="E56" i="2" s="1"/>
  <c r="A57" i="2"/>
  <c r="B57" i="2"/>
  <c r="D57" i="2" s="1"/>
  <c r="E57" i="2" s="1"/>
  <c r="A58" i="2"/>
  <c r="B58" i="2"/>
  <c r="D58" i="2" s="1"/>
  <c r="E58" i="2" s="1"/>
  <c r="A59" i="2"/>
  <c r="B59" i="2"/>
  <c r="D59" i="2" s="1"/>
  <c r="E59" i="2" s="1"/>
  <c r="B7" i="14" l="1"/>
  <c r="C7" i="14" s="1"/>
  <c r="D7" i="14" s="1"/>
  <c r="E7" i="14" s="1"/>
  <c r="F7" i="14" s="1"/>
  <c r="G7" i="14" s="1"/>
  <c r="C24" i="9"/>
  <c r="D24" i="9"/>
  <c r="E24" i="9"/>
  <c r="F24" i="9"/>
  <c r="G24" i="9"/>
  <c r="C21" i="9"/>
  <c r="D21" i="9"/>
  <c r="D34" i="9" s="1"/>
  <c r="E21" i="9"/>
  <c r="E34" i="9" s="1"/>
  <c r="F21" i="9"/>
  <c r="B32" i="9"/>
  <c r="D7" i="9"/>
  <c r="E7" i="9"/>
  <c r="F7" i="9"/>
  <c r="G7" i="9"/>
  <c r="C7" i="9"/>
  <c r="D30" i="5"/>
  <c r="P4" i="5"/>
  <c r="P3" i="5"/>
  <c r="P2" i="5"/>
  <c r="O4" i="5"/>
  <c r="O2" i="5"/>
  <c r="O3" i="5"/>
  <c r="N4" i="5"/>
  <c r="N3" i="5"/>
  <c r="N2" i="5"/>
  <c r="M2" i="5"/>
  <c r="M4" i="5"/>
  <c r="M3" i="5"/>
  <c r="L4" i="5"/>
  <c r="L3" i="5"/>
  <c r="L2" i="5"/>
  <c r="B23" i="5" s="1"/>
  <c r="H4" i="5"/>
  <c r="H3" i="5"/>
  <c r="G4" i="5"/>
  <c r="G3" i="5"/>
  <c r="F4" i="5"/>
  <c r="F3" i="5"/>
  <c r="E4" i="5"/>
  <c r="E3" i="5"/>
  <c r="D4" i="5"/>
  <c r="D3" i="5"/>
  <c r="H2" i="5"/>
  <c r="G2" i="5"/>
  <c r="F2" i="5"/>
  <c r="E2" i="5"/>
  <c r="D2" i="5"/>
  <c r="B48" i="12"/>
  <c r="C48" i="12"/>
  <c r="B49" i="12"/>
  <c r="C49" i="12"/>
  <c r="B50" i="12"/>
  <c r="C50" i="12"/>
  <c r="B51" i="12"/>
  <c r="C51" i="12"/>
  <c r="B52" i="12"/>
  <c r="C52" i="12"/>
  <c r="B53" i="12"/>
  <c r="C53" i="12"/>
  <c r="B54" i="12"/>
  <c r="C54" i="12"/>
  <c r="B23" i="12"/>
  <c r="C23" i="12"/>
  <c r="B24" i="12"/>
  <c r="C24" i="12"/>
  <c r="B25" i="12"/>
  <c r="C25" i="12"/>
  <c r="B26" i="12"/>
  <c r="C26" i="12"/>
  <c r="B27" i="12"/>
  <c r="C27" i="12"/>
  <c r="B28" i="12"/>
  <c r="C28" i="12"/>
  <c r="B29" i="12"/>
  <c r="C29" i="12"/>
  <c r="B30" i="12"/>
  <c r="C30" i="12"/>
  <c r="B31" i="12"/>
  <c r="C31" i="12"/>
  <c r="B32" i="12"/>
  <c r="C32" i="12"/>
  <c r="B33" i="12"/>
  <c r="C33" i="12"/>
  <c r="B34" i="12"/>
  <c r="C34" i="12"/>
  <c r="B35" i="12"/>
  <c r="C35" i="12"/>
  <c r="B36" i="12"/>
  <c r="C36" i="12"/>
  <c r="B37" i="12"/>
  <c r="C37" i="12"/>
  <c r="B38" i="12"/>
  <c r="C38" i="12"/>
  <c r="B39" i="12"/>
  <c r="C39" i="12"/>
  <c r="B40" i="12"/>
  <c r="C40" i="12"/>
  <c r="B41" i="12"/>
  <c r="C41" i="12"/>
  <c r="L4" i="12"/>
  <c r="L3" i="12"/>
  <c r="H4" i="12"/>
  <c r="G4" i="12"/>
  <c r="F4" i="12"/>
  <c r="E4" i="12"/>
  <c r="D4" i="12"/>
  <c r="H3" i="12"/>
  <c r="G3" i="12"/>
  <c r="G9" i="12" s="1"/>
  <c r="E3" i="12"/>
  <c r="F3" i="12"/>
  <c r="D3" i="12"/>
  <c r="H2" i="12"/>
  <c r="G2" i="12"/>
  <c r="F2" i="12"/>
  <c r="E2" i="12"/>
  <c r="D2" i="12"/>
  <c r="F5" i="12" l="1"/>
  <c r="F34" i="9"/>
  <c r="E5" i="12"/>
  <c r="F5" i="5"/>
  <c r="G5" i="5"/>
  <c r="H5" i="5"/>
  <c r="H6" i="5"/>
  <c r="G6" i="5"/>
  <c r="L14" i="5"/>
  <c r="L12" i="5"/>
  <c r="L10" i="5"/>
  <c r="L6" i="5"/>
  <c r="M14" i="5"/>
  <c r="M12" i="5"/>
  <c r="M10" i="5"/>
  <c r="M6" i="5"/>
  <c r="M15" i="5"/>
  <c r="M13" i="5"/>
  <c r="M11" i="5"/>
  <c r="M9" i="5"/>
  <c r="M7" i="5"/>
  <c r="M5" i="5"/>
  <c r="N5" i="5"/>
  <c r="N6" i="5"/>
  <c r="N7" i="5"/>
  <c r="N9" i="5"/>
  <c r="N10" i="5"/>
  <c r="N11" i="5"/>
  <c r="N12" i="5"/>
  <c r="N13" i="5"/>
  <c r="N14" i="5"/>
  <c r="O15" i="5"/>
  <c r="O5" i="5"/>
  <c r="O6" i="5"/>
  <c r="O7" i="5"/>
  <c r="O9" i="5"/>
  <c r="O10" i="5"/>
  <c r="O11" i="5"/>
  <c r="O12" i="5"/>
  <c r="O13" i="5"/>
  <c r="O14" i="5"/>
  <c r="P14" i="5"/>
  <c r="P12" i="5"/>
  <c r="P10" i="5"/>
  <c r="P6" i="5"/>
  <c r="P15" i="5"/>
  <c r="P13" i="5"/>
  <c r="P11" i="5"/>
  <c r="P9" i="5"/>
  <c r="P7" i="5"/>
  <c r="P5" i="5"/>
  <c r="L7" i="5"/>
  <c r="L11" i="5"/>
  <c r="L15" i="5"/>
  <c r="L5" i="5"/>
  <c r="L9" i="5"/>
  <c r="L13" i="5"/>
  <c r="N15" i="5"/>
  <c r="C34" i="9"/>
  <c r="G7" i="5"/>
  <c r="G9" i="5"/>
  <c r="G10" i="5"/>
  <c r="G11" i="5"/>
  <c r="G12" i="5"/>
  <c r="G13" i="5"/>
  <c r="G14" i="5"/>
  <c r="G15" i="5"/>
  <c r="H7" i="5"/>
  <c r="H9" i="5"/>
  <c r="H10" i="5"/>
  <c r="H11" i="5"/>
  <c r="H12" i="5"/>
  <c r="H13" i="5"/>
  <c r="H14" i="5"/>
  <c r="H15" i="5"/>
  <c r="G14" i="12"/>
  <c r="G12" i="12"/>
  <c r="G10" i="12"/>
  <c r="H5" i="12"/>
  <c r="G5" i="12"/>
  <c r="G15" i="12"/>
  <c r="G13" i="12"/>
  <c r="G11" i="12"/>
  <c r="D5" i="12"/>
  <c r="D7" i="12"/>
  <c r="D15" i="12"/>
  <c r="E15" i="12"/>
  <c r="E14" i="12"/>
  <c r="E13" i="12"/>
  <c r="E12" i="12"/>
  <c r="E11" i="12"/>
  <c r="E10" i="12"/>
  <c r="E9" i="12"/>
  <c r="G7" i="12"/>
  <c r="E7" i="12"/>
  <c r="G6" i="12"/>
  <c r="E6" i="12"/>
  <c r="D6" i="12"/>
  <c r="H15" i="12"/>
  <c r="F15" i="12"/>
  <c r="H14" i="12"/>
  <c r="F14" i="12"/>
  <c r="H13" i="12"/>
  <c r="F13" i="12"/>
  <c r="H12" i="12"/>
  <c r="F12" i="12"/>
  <c r="H11" i="12"/>
  <c r="F11" i="12"/>
  <c r="H10" i="12"/>
  <c r="F10" i="12"/>
  <c r="H9" i="12"/>
  <c r="F9" i="12"/>
  <c r="H7" i="12"/>
  <c r="F7" i="12"/>
  <c r="H6" i="12"/>
  <c r="F6" i="12"/>
  <c r="K8" i="5"/>
  <c r="L8" i="5" s="1"/>
  <c r="M8" i="5" l="1"/>
  <c r="L16" i="5"/>
  <c r="L18" i="5"/>
  <c r="C23" i="5"/>
  <c r="D23" i="5" s="1"/>
  <c r="P8" i="5"/>
  <c r="P16" i="5" s="1"/>
  <c r="P18" i="5" s="1"/>
  <c r="O8" i="5"/>
  <c r="O16" i="5" s="1"/>
  <c r="O18" i="5" s="1"/>
  <c r="N8" i="5"/>
  <c r="N16" i="5" s="1"/>
  <c r="N18" i="5" s="1"/>
  <c r="M16" i="5"/>
  <c r="M18" i="5" s="1"/>
  <c r="K18" i="5" l="1"/>
  <c r="D52" i="5" s="1"/>
  <c r="L16" i="15"/>
  <c r="D51" i="5"/>
  <c r="L13" i="12"/>
  <c r="K8" i="12"/>
  <c r="D74" i="12"/>
  <c r="C36" i="5" s="1"/>
  <c r="D96" i="12"/>
  <c r="D67" i="12"/>
  <c r="C25" i="5" s="1"/>
  <c r="D25" i="5" s="1"/>
  <c r="D68" i="12"/>
  <c r="C26" i="5" s="1"/>
  <c r="D26" i="5" s="1"/>
  <c r="D70" i="12"/>
  <c r="D73" i="12"/>
  <c r="D66" i="12"/>
  <c r="C47" i="12"/>
  <c r="B47" i="12"/>
  <c r="C22" i="12"/>
  <c r="B22" i="12"/>
  <c r="D14" i="12"/>
  <c r="C8" i="12"/>
  <c r="G1" i="3"/>
  <c r="B10" i="10" s="1"/>
  <c r="B11" i="10" s="1"/>
  <c r="A74" i="2"/>
  <c r="B74" i="2"/>
  <c r="D74" i="2" s="1"/>
  <c r="E74" i="2" s="1"/>
  <c r="A75" i="2"/>
  <c r="B75" i="2"/>
  <c r="D75" i="2" s="1"/>
  <c r="E75" i="2" s="1"/>
  <c r="A76" i="2"/>
  <c r="B76" i="2"/>
  <c r="D76" i="2" s="1"/>
  <c r="E76" i="2" s="1"/>
  <c r="A77" i="2"/>
  <c r="B77" i="2"/>
  <c r="D77" i="2" s="1"/>
  <c r="E77" i="2" s="1"/>
  <c r="A78" i="2"/>
  <c r="B78" i="2"/>
  <c r="D78" i="2" s="1"/>
  <c r="E78" i="2" s="1"/>
  <c r="A79" i="2"/>
  <c r="B79" i="2"/>
  <c r="D79" i="2" s="1"/>
  <c r="E79" i="2" s="1"/>
  <c r="A80" i="2"/>
  <c r="B80" i="2"/>
  <c r="D80" i="2" s="1"/>
  <c r="E80" i="2" s="1"/>
  <c r="B73" i="2"/>
  <c r="D73" i="2" s="1"/>
  <c r="E73" i="2" s="1"/>
  <c r="A73" i="2"/>
  <c r="A49" i="2"/>
  <c r="B49" i="2"/>
  <c r="D49" i="2" s="1"/>
  <c r="E49" i="2" s="1"/>
  <c r="A50" i="2"/>
  <c r="B50" i="2"/>
  <c r="D50" i="2" s="1"/>
  <c r="E50" i="2" s="1"/>
  <c r="A51" i="2"/>
  <c r="B51" i="2"/>
  <c r="D51" i="2" s="1"/>
  <c r="E51" i="2" s="1"/>
  <c r="A52" i="2"/>
  <c r="B52" i="2"/>
  <c r="D52" i="2" s="1"/>
  <c r="E52" i="2" s="1"/>
  <c r="A53" i="2"/>
  <c r="B53" i="2"/>
  <c r="D53" i="2" s="1"/>
  <c r="E53" i="2" s="1"/>
  <c r="A54" i="2"/>
  <c r="B54" i="2"/>
  <c r="D54" i="2" s="1"/>
  <c r="E54" i="2" s="1"/>
  <c r="A60" i="2"/>
  <c r="B60" i="2"/>
  <c r="D60" i="2" s="1"/>
  <c r="E60" i="2" s="1"/>
  <c r="A61" i="2"/>
  <c r="B61" i="2"/>
  <c r="D61" i="2" s="1"/>
  <c r="E61" i="2" s="1"/>
  <c r="A62" i="2"/>
  <c r="B62" i="2"/>
  <c r="D62" i="2" s="1"/>
  <c r="E62" i="2" s="1"/>
  <c r="A63" i="2"/>
  <c r="B63" i="2"/>
  <c r="D63" i="2" s="1"/>
  <c r="E63" i="2" s="1"/>
  <c r="A64" i="2"/>
  <c r="B64" i="2"/>
  <c r="D64" i="2" s="1"/>
  <c r="E64" i="2" s="1"/>
  <c r="A65" i="2"/>
  <c r="B65" i="2"/>
  <c r="D65" i="2" s="1"/>
  <c r="E65" i="2" s="1"/>
  <c r="A66" i="2"/>
  <c r="B66" i="2"/>
  <c r="D66" i="2" s="1"/>
  <c r="E66" i="2" s="1"/>
  <c r="A67" i="2"/>
  <c r="B67" i="2"/>
  <c r="D67" i="2" s="1"/>
  <c r="E67" i="2" s="1"/>
  <c r="B48" i="2"/>
  <c r="D48" i="2" s="1"/>
  <c r="E48" i="2" s="1"/>
  <c r="A48" i="2"/>
  <c r="A29" i="2"/>
  <c r="B29" i="2"/>
  <c r="D29" i="2" s="1"/>
  <c r="E29" i="2" s="1"/>
  <c r="A30" i="2"/>
  <c r="B30" i="2"/>
  <c r="D30" i="2" s="1"/>
  <c r="E30" i="2" s="1"/>
  <c r="A31" i="2"/>
  <c r="B31" i="2"/>
  <c r="D31" i="2" s="1"/>
  <c r="E31" i="2" s="1"/>
  <c r="A32" i="2"/>
  <c r="B32" i="2"/>
  <c r="D32" i="2" s="1"/>
  <c r="E32" i="2" s="1"/>
  <c r="A33" i="2"/>
  <c r="B33" i="2"/>
  <c r="D33" i="2" s="1"/>
  <c r="E33" i="2" s="1"/>
  <c r="A34" i="2"/>
  <c r="B34" i="2"/>
  <c r="D34" i="2" s="1"/>
  <c r="E34" i="2" s="1"/>
  <c r="A35" i="2"/>
  <c r="B35" i="2"/>
  <c r="D35" i="2" s="1"/>
  <c r="E35" i="2" s="1"/>
  <c r="A36" i="2"/>
  <c r="B36" i="2"/>
  <c r="D36" i="2" s="1"/>
  <c r="E36" i="2" s="1"/>
  <c r="A37" i="2"/>
  <c r="B37" i="2"/>
  <c r="D37" i="2" s="1"/>
  <c r="E37" i="2" s="1"/>
  <c r="A38" i="2"/>
  <c r="B38" i="2"/>
  <c r="D38" i="2" s="1"/>
  <c r="E38" i="2" s="1"/>
  <c r="A39" i="2"/>
  <c r="B39" i="2"/>
  <c r="D39" i="2" s="1"/>
  <c r="E39" i="2" s="1"/>
  <c r="A40" i="2"/>
  <c r="B40" i="2"/>
  <c r="D40" i="2" s="1"/>
  <c r="E40" i="2" s="1"/>
  <c r="A41" i="2"/>
  <c r="B41" i="2"/>
  <c r="D41" i="2" s="1"/>
  <c r="E41" i="2" s="1"/>
  <c r="A42" i="2"/>
  <c r="B42" i="2"/>
  <c r="D42" i="2" s="1"/>
  <c r="E42" i="2" s="1"/>
  <c r="B28" i="2"/>
  <c r="D28" i="2" s="1"/>
  <c r="E28" i="2" s="1"/>
  <c r="A28" i="2"/>
  <c r="A20" i="2"/>
  <c r="B20" i="2"/>
  <c r="D20" i="2" s="1"/>
  <c r="E20" i="2" s="1"/>
  <c r="A21" i="2"/>
  <c r="B21" i="2"/>
  <c r="D21" i="2" s="1"/>
  <c r="A22" i="2"/>
  <c r="B22" i="2"/>
  <c r="D22" i="2" s="1"/>
  <c r="E22" i="2" s="1"/>
  <c r="B19" i="2"/>
  <c r="D19" i="2" s="1"/>
  <c r="E19" i="2" s="1"/>
  <c r="A19" i="2"/>
  <c r="A5" i="2"/>
  <c r="B5" i="2"/>
  <c r="D5" i="2" s="1"/>
  <c r="E5" i="2" s="1"/>
  <c r="A6" i="2"/>
  <c r="B6" i="2"/>
  <c r="D6" i="2" s="1"/>
  <c r="E6" i="2" s="1"/>
  <c r="A7" i="2"/>
  <c r="B7" i="2"/>
  <c r="D7" i="2" s="1"/>
  <c r="E7" i="2" s="1"/>
  <c r="A8" i="2"/>
  <c r="B8" i="2"/>
  <c r="D8" i="2" s="1"/>
  <c r="E8" i="2" s="1"/>
  <c r="A9" i="2"/>
  <c r="B9" i="2"/>
  <c r="D9" i="2" s="1"/>
  <c r="E9" i="2" s="1"/>
  <c r="A10" i="2"/>
  <c r="B10" i="2"/>
  <c r="D10" i="2" s="1"/>
  <c r="E10" i="2" s="1"/>
  <c r="A11" i="2"/>
  <c r="B11" i="2"/>
  <c r="D11" i="2" s="1"/>
  <c r="E11" i="2" s="1"/>
  <c r="A12" i="2"/>
  <c r="B12" i="2"/>
  <c r="D12" i="2" s="1"/>
  <c r="E12" i="2" s="1"/>
  <c r="A13" i="2"/>
  <c r="B13" i="2"/>
  <c r="D13" i="2" s="1"/>
  <c r="E13" i="2" s="1"/>
  <c r="B4" i="2"/>
  <c r="D4" i="2" s="1"/>
  <c r="A4" i="2"/>
  <c r="C8" i="5"/>
  <c r="M8" i="15"/>
  <c r="M9" i="15"/>
  <c r="M10" i="15"/>
  <c r="M11" i="15"/>
  <c r="M12" i="15"/>
  <c r="M13" i="15"/>
  <c r="M14" i="15"/>
  <c r="M15" i="15"/>
  <c r="M7" i="15"/>
  <c r="I8" i="15"/>
  <c r="I9" i="15"/>
  <c r="I10" i="15"/>
  <c r="I11" i="15"/>
  <c r="I12" i="15"/>
  <c r="I13" i="15"/>
  <c r="I14" i="15"/>
  <c r="I15" i="15"/>
  <c r="I7" i="15"/>
  <c r="C20" i="15"/>
  <c r="C21" i="15" s="1"/>
  <c r="C12" i="15"/>
  <c r="C13" i="15" s="1"/>
  <c r="C14" i="15" l="1"/>
  <c r="C52" i="5"/>
  <c r="H8" i="5"/>
  <c r="H16" i="5" s="1"/>
  <c r="H18" i="5" s="1"/>
  <c r="G8" i="5"/>
  <c r="G16" i="5" s="1"/>
  <c r="G18" i="5" s="1"/>
  <c r="C29" i="5"/>
  <c r="D29" i="5" s="1"/>
  <c r="D81" i="12"/>
  <c r="C28" i="5"/>
  <c r="D28" i="5" s="1"/>
  <c r="C24" i="5"/>
  <c r="D36" i="5"/>
  <c r="D79" i="12"/>
  <c r="D57" i="3"/>
  <c r="D58" i="3"/>
  <c r="D66" i="3"/>
  <c r="D59" i="3"/>
  <c r="D67" i="3"/>
  <c r="D56" i="3"/>
  <c r="D61" i="3"/>
  <c r="D62" i="3"/>
  <c r="D64" i="3"/>
  <c r="D60" i="3"/>
  <c r="D63" i="3"/>
  <c r="D65" i="3"/>
  <c r="D44" i="3"/>
  <c r="D52" i="3"/>
  <c r="D35" i="3"/>
  <c r="D18" i="3"/>
  <c r="D26" i="3"/>
  <c r="D27" i="3"/>
  <c r="D28" i="3"/>
  <c r="D43" i="3"/>
  <c r="D17" i="3"/>
  <c r="D39" i="3"/>
  <c r="D32" i="3"/>
  <c r="D23" i="3"/>
  <c r="D41" i="3"/>
  <c r="D51" i="3"/>
  <c r="D30" i="3"/>
  <c r="D45" i="3"/>
  <c r="D53" i="3"/>
  <c r="D36" i="3"/>
  <c r="D19" i="3"/>
  <c r="D20" i="3"/>
  <c r="D38" i="3"/>
  <c r="D48" i="3"/>
  <c r="D22" i="3"/>
  <c r="D50" i="3"/>
  <c r="D24" i="3"/>
  <c r="D46" i="3"/>
  <c r="D37" i="3"/>
  <c r="D47" i="3"/>
  <c r="D21" i="3"/>
  <c r="D31" i="3"/>
  <c r="D49" i="3"/>
  <c r="D40" i="3"/>
  <c r="D33" i="3"/>
  <c r="D34" i="3"/>
  <c r="D25" i="3"/>
  <c r="D6" i="3"/>
  <c r="D14" i="3"/>
  <c r="D7" i="3"/>
  <c r="D15" i="3"/>
  <c r="D11" i="3"/>
  <c r="D13" i="3"/>
  <c r="D12" i="3"/>
  <c r="D8" i="3"/>
  <c r="D4" i="3"/>
  <c r="D9" i="3"/>
  <c r="D10" i="3"/>
  <c r="D5" i="3"/>
  <c r="E43" i="2"/>
  <c r="D68" i="2"/>
  <c r="I8" i="2" s="1"/>
  <c r="G8" i="12"/>
  <c r="G16" i="12" s="1"/>
  <c r="G18" i="12" s="1"/>
  <c r="F8" i="12"/>
  <c r="F16" i="12" s="1"/>
  <c r="F18" i="12" s="1"/>
  <c r="D8" i="12"/>
  <c r="E8" i="12"/>
  <c r="E16" i="12" s="1"/>
  <c r="E18" i="12" s="1"/>
  <c r="H8" i="12"/>
  <c r="H16" i="12" s="1"/>
  <c r="H18" i="12" s="1"/>
  <c r="F11" i="5"/>
  <c r="D6" i="5"/>
  <c r="E6" i="5"/>
  <c r="L11" i="12"/>
  <c r="D9" i="5"/>
  <c r="E10" i="5"/>
  <c r="D12" i="5"/>
  <c r="E13" i="5"/>
  <c r="F14" i="5"/>
  <c r="D5" i="5"/>
  <c r="E5" i="5"/>
  <c r="F7" i="5"/>
  <c r="F9" i="5"/>
  <c r="D11" i="5"/>
  <c r="F12" i="5"/>
  <c r="D14" i="5"/>
  <c r="E15" i="5"/>
  <c r="L5" i="12"/>
  <c r="L7" i="12"/>
  <c r="L9" i="12"/>
  <c r="E7" i="5"/>
  <c r="E8" i="5"/>
  <c r="L15" i="12"/>
  <c r="L8" i="12"/>
  <c r="L6" i="12"/>
  <c r="D7" i="5"/>
  <c r="D8" i="5"/>
  <c r="F8" i="5"/>
  <c r="E9" i="5"/>
  <c r="D10" i="5"/>
  <c r="F10" i="5"/>
  <c r="E11" i="5"/>
  <c r="E12" i="5"/>
  <c r="D13" i="5"/>
  <c r="F13" i="5"/>
  <c r="E14" i="5"/>
  <c r="D15" i="5"/>
  <c r="F15" i="5"/>
  <c r="F6" i="5"/>
  <c r="L10" i="12"/>
  <c r="L12" i="12"/>
  <c r="L14" i="12"/>
  <c r="D11" i="12"/>
  <c r="D9" i="12"/>
  <c r="D13" i="12"/>
  <c r="D10" i="12"/>
  <c r="D12" i="12"/>
  <c r="D83" i="2"/>
  <c r="I9" i="2" s="1"/>
  <c r="E68" i="2"/>
  <c r="E83" i="2"/>
  <c r="F43" i="2"/>
  <c r="D23" i="2"/>
  <c r="I4" i="2" s="1"/>
  <c r="D43" i="2"/>
  <c r="I5" i="2" s="1"/>
  <c r="B27" i="9" s="1"/>
  <c r="D14" i="2"/>
  <c r="I3" i="2" s="1"/>
  <c r="B25" i="9" s="1"/>
  <c r="E4" i="2"/>
  <c r="I16" i="15"/>
  <c r="I30" i="2" s="1"/>
  <c r="I36" i="2" s="1"/>
  <c r="C22" i="15"/>
  <c r="C23" i="15" s="1"/>
  <c r="C24" i="15" s="1"/>
  <c r="M16" i="15"/>
  <c r="D37" i="5" s="1"/>
  <c r="D6" i="1"/>
  <c r="E6" i="1" s="1"/>
  <c r="F6" i="1" s="1"/>
  <c r="G6" i="1" s="1"/>
  <c r="D98" i="12"/>
  <c r="C15" i="15" l="1"/>
  <c r="C86" i="12"/>
  <c r="C88" i="12" s="1"/>
  <c r="E14" i="2"/>
  <c r="F14" i="2"/>
  <c r="D55" i="3"/>
  <c r="D42" i="3"/>
  <c r="D29" i="3"/>
  <c r="D68" i="3"/>
  <c r="D16" i="3"/>
  <c r="B16" i="14"/>
  <c r="B31" i="9"/>
  <c r="B15" i="14"/>
  <c r="C15" i="14" s="1"/>
  <c r="D15" i="14" s="1"/>
  <c r="E15" i="14" s="1"/>
  <c r="F15" i="14" s="1"/>
  <c r="G15" i="14" s="1"/>
  <c r="B30" i="9"/>
  <c r="B11" i="14"/>
  <c r="B26" i="9"/>
  <c r="B10" i="14"/>
  <c r="I11" i="2"/>
  <c r="B12" i="14"/>
  <c r="D99" i="12"/>
  <c r="F16" i="5"/>
  <c r="F18" i="5" s="1"/>
  <c r="D16" i="5"/>
  <c r="D18" i="5" s="1"/>
  <c r="E16" i="5"/>
  <c r="E18" i="5" s="1"/>
  <c r="L16" i="12"/>
  <c r="D16" i="12"/>
  <c r="D18" i="12" s="1"/>
  <c r="C18" i="12" s="1"/>
  <c r="F83" i="2"/>
  <c r="F68" i="2"/>
  <c r="F23" i="2"/>
  <c r="E23" i="2"/>
  <c r="D8" i="1"/>
  <c r="D9" i="1" s="1"/>
  <c r="C16" i="15" l="1"/>
  <c r="B18" i="14"/>
  <c r="I45" i="2"/>
  <c r="G23" i="9"/>
  <c r="G21" i="9" s="1"/>
  <c r="G34" i="9" s="1"/>
  <c r="D46" i="5"/>
  <c r="C99" i="12"/>
  <c r="L17" i="12"/>
  <c r="C18" i="5"/>
  <c r="D22" i="5" s="1"/>
  <c r="D92" i="12"/>
  <c r="C14" i="9" l="1"/>
  <c r="D14" i="9" s="1"/>
  <c r="E14" i="9" s="1"/>
  <c r="F14" i="9" s="1"/>
  <c r="G14" i="9" s="1"/>
  <c r="C17" i="14"/>
  <c r="D84" i="12"/>
  <c r="C84" i="12" s="1"/>
  <c r="B7" i="8"/>
  <c r="C7" i="8" s="1"/>
  <c r="C65" i="5"/>
  <c r="B11" i="8"/>
  <c r="C92" i="12"/>
  <c r="C22" i="5" l="1"/>
  <c r="C10" i="9"/>
  <c r="D10" i="9"/>
  <c r="D7" i="8"/>
  <c r="C12" i="9"/>
  <c r="C11" i="8"/>
  <c r="E8" i="1"/>
  <c r="E9" i="1" s="1"/>
  <c r="F8" i="1"/>
  <c r="F9" i="1" s="1"/>
  <c r="G8" i="1"/>
  <c r="G9" i="1" s="1"/>
  <c r="C8" i="1"/>
  <c r="C54" i="5" l="1"/>
  <c r="C9" i="1"/>
  <c r="E39" i="1"/>
  <c r="D28" i="12" s="1"/>
  <c r="F28" i="12" s="1"/>
  <c r="E41" i="1"/>
  <c r="D30" i="12" s="1"/>
  <c r="F30" i="12" s="1"/>
  <c r="E43" i="1"/>
  <c r="D32" i="12" s="1"/>
  <c r="F32" i="12" s="1"/>
  <c r="E45" i="1"/>
  <c r="D34" i="12" s="1"/>
  <c r="F34" i="12" s="1"/>
  <c r="E47" i="1"/>
  <c r="E49" i="1"/>
  <c r="E51" i="1"/>
  <c r="E69" i="1"/>
  <c r="D58" i="12" s="1"/>
  <c r="F58" i="12" s="1"/>
  <c r="E71" i="1"/>
  <c r="D60" i="12" s="1"/>
  <c r="F60" i="12" s="1"/>
  <c r="E38" i="1"/>
  <c r="D27" i="12" s="1"/>
  <c r="F27" i="12" s="1"/>
  <c r="E42" i="1"/>
  <c r="D31" i="12" s="1"/>
  <c r="F31" i="12" s="1"/>
  <c r="E46" i="1"/>
  <c r="D35" i="12" s="1"/>
  <c r="F35" i="12" s="1"/>
  <c r="E50" i="1"/>
  <c r="E70" i="1"/>
  <c r="D59" i="12" s="1"/>
  <c r="F59" i="12" s="1"/>
  <c r="E40" i="1"/>
  <c r="D29" i="12" s="1"/>
  <c r="F29" i="12" s="1"/>
  <c r="E44" i="1"/>
  <c r="D33" i="12" s="1"/>
  <c r="F33" i="12" s="1"/>
  <c r="E48" i="1"/>
  <c r="E52" i="1"/>
  <c r="E68" i="1"/>
  <c r="D57" i="12" s="1"/>
  <c r="F57" i="12" s="1"/>
  <c r="E72" i="1"/>
  <c r="D61" i="12" s="1"/>
  <c r="F61" i="12" s="1"/>
  <c r="B59" i="10"/>
  <c r="C6" i="7"/>
  <c r="E66" i="1"/>
  <c r="D55" i="12" s="1"/>
  <c r="F55" i="12" s="1"/>
  <c r="E64" i="1"/>
  <c r="D53" i="12" s="1"/>
  <c r="F53" i="12" s="1"/>
  <c r="E62" i="1"/>
  <c r="D51" i="12" s="1"/>
  <c r="F51" i="12" s="1"/>
  <c r="E60" i="1"/>
  <c r="D49" i="12" s="1"/>
  <c r="F49" i="12" s="1"/>
  <c r="E58" i="1"/>
  <c r="D47" i="12" s="1"/>
  <c r="F47" i="12" s="1"/>
  <c r="E35" i="1"/>
  <c r="E37" i="1"/>
  <c r="D26" i="12" s="1"/>
  <c r="F26" i="12" s="1"/>
  <c r="E67" i="1"/>
  <c r="D56" i="12" s="1"/>
  <c r="F56" i="12" s="1"/>
  <c r="E65" i="1"/>
  <c r="D54" i="12" s="1"/>
  <c r="F54" i="12" s="1"/>
  <c r="E63" i="1"/>
  <c r="D52" i="12" s="1"/>
  <c r="F52" i="12" s="1"/>
  <c r="E61" i="1"/>
  <c r="D50" i="12" s="1"/>
  <c r="F50" i="12" s="1"/>
  <c r="E59" i="1"/>
  <c r="D48" i="12" s="1"/>
  <c r="F48" i="12" s="1"/>
  <c r="E34" i="1"/>
  <c r="E36" i="1"/>
  <c r="E33" i="1"/>
  <c r="D22" i="12" s="1"/>
  <c r="F22" i="12" s="1"/>
  <c r="E7" i="8"/>
  <c r="E10" i="9"/>
  <c r="D11" i="8"/>
  <c r="D12" i="9"/>
  <c r="F62" i="12" l="1"/>
  <c r="D94" i="12" s="1"/>
  <c r="C109" i="12" s="1"/>
  <c r="D38" i="12"/>
  <c r="F38" i="12" s="1"/>
  <c r="D25" i="12"/>
  <c r="F25" i="12" s="1"/>
  <c r="D39" i="12"/>
  <c r="F39" i="12" s="1"/>
  <c r="D40" i="12"/>
  <c r="F40" i="12" s="1"/>
  <c r="D36" i="12"/>
  <c r="F36" i="12" s="1"/>
  <c r="D23" i="12"/>
  <c r="F23" i="12" s="1"/>
  <c r="D41" i="12"/>
  <c r="F41" i="12" s="1"/>
  <c r="D37" i="12"/>
  <c r="F37" i="12" s="1"/>
  <c r="D24" i="12"/>
  <c r="F24" i="12" s="1"/>
  <c r="F7" i="8"/>
  <c r="G10" i="9" s="1"/>
  <c r="F10" i="9"/>
  <c r="E11" i="8"/>
  <c r="E12" i="9"/>
  <c r="C16" i="14"/>
  <c r="D16" i="14" s="1"/>
  <c r="E16" i="14" s="1"/>
  <c r="F16" i="14" s="1"/>
  <c r="G16" i="14" s="1"/>
  <c r="F42" i="12" l="1"/>
  <c r="D93" i="12" s="1"/>
  <c r="D101" i="12" s="1"/>
  <c r="C94" i="12"/>
  <c r="F12" i="9"/>
  <c r="F11" i="8"/>
  <c r="G12" i="9" s="1"/>
  <c r="G31" i="14"/>
  <c r="B37" i="9"/>
  <c r="B36" i="9" s="1"/>
  <c r="B41" i="9" s="1"/>
  <c r="I62" i="2"/>
  <c r="D41" i="5"/>
  <c r="D40" i="5"/>
  <c r="D38" i="5"/>
  <c r="D24" i="5"/>
  <c r="C37" i="5"/>
  <c r="D78" i="12"/>
  <c r="D88" i="12" s="1"/>
  <c r="B4" i="3"/>
  <c r="B19" i="14"/>
  <c r="C110" i="12" l="1"/>
  <c r="D105" i="12"/>
  <c r="C105" i="12" s="1"/>
  <c r="E4" i="3"/>
  <c r="C5" i="3" s="1"/>
  <c r="C93" i="12"/>
  <c r="C101" i="12" s="1"/>
  <c r="D106" i="12"/>
  <c r="B6" i="8"/>
  <c r="C9" i="9" s="1"/>
  <c r="C111" i="12"/>
  <c r="B8" i="8" s="1"/>
  <c r="C11" i="9" s="1"/>
  <c r="B23" i="8"/>
  <c r="C19" i="14"/>
  <c r="B21" i="14"/>
  <c r="B33" i="9"/>
  <c r="B24" i="9" s="1"/>
  <c r="I37" i="2"/>
  <c r="I53" i="2"/>
  <c r="F5" i="3" l="1"/>
  <c r="C6" i="8"/>
  <c r="C12" i="14"/>
  <c r="D12" i="14" s="1"/>
  <c r="E12" i="14" s="1"/>
  <c r="F12" i="14" s="1"/>
  <c r="G12" i="14" s="1"/>
  <c r="I52" i="2"/>
  <c r="C11" i="14"/>
  <c r="D11" i="14" s="1"/>
  <c r="E11" i="14" s="1"/>
  <c r="F11" i="14" s="1"/>
  <c r="G11" i="14" s="1"/>
  <c r="C20" i="14"/>
  <c r="C21" i="14" s="1"/>
  <c r="D45" i="5"/>
  <c r="I38" i="2"/>
  <c r="I46" i="2" s="1"/>
  <c r="C10" i="14"/>
  <c r="D19" i="14"/>
  <c r="D6" i="8" l="1"/>
  <c r="D9" i="9"/>
  <c r="C15" i="9"/>
  <c r="C106" i="12"/>
  <c r="D10" i="14"/>
  <c r="E19" i="14"/>
  <c r="C45" i="5"/>
  <c r="F20" i="14"/>
  <c r="G20" i="14"/>
  <c r="D20" i="14"/>
  <c r="D21" i="14" s="1"/>
  <c r="E20" i="14"/>
  <c r="D15" i="9" l="1"/>
  <c r="E15" i="9" s="1"/>
  <c r="F15" i="9" s="1"/>
  <c r="G15" i="9" s="1"/>
  <c r="E9" i="9"/>
  <c r="E6" i="8"/>
  <c r="D107" i="12"/>
  <c r="C18" i="14"/>
  <c r="F19" i="14"/>
  <c r="E21" i="14"/>
  <c r="E10" i="14"/>
  <c r="C46" i="5"/>
  <c r="C47" i="5" s="1"/>
  <c r="B5" i="3"/>
  <c r="C60" i="5" l="1"/>
  <c r="F9" i="9"/>
  <c r="F6" i="8"/>
  <c r="G9" i="9" s="1"/>
  <c r="C3" i="7"/>
  <c r="C70" i="5"/>
  <c r="D60" i="5"/>
  <c r="C107" i="12"/>
  <c r="I42" i="2" s="1"/>
  <c r="D17" i="14"/>
  <c r="D18" i="14" s="1"/>
  <c r="E17" i="14"/>
  <c r="E18" i="14" s="1"/>
  <c r="G17" i="14"/>
  <c r="F17" i="14"/>
  <c r="F10" i="14"/>
  <c r="G19" i="14"/>
  <c r="G21" i="14" s="1"/>
  <c r="F21" i="14"/>
  <c r="E5" i="3"/>
  <c r="C6" i="3" s="1"/>
  <c r="F6" i="3" l="1"/>
  <c r="B51" i="10"/>
  <c r="E53" i="10" s="1"/>
  <c r="E55" i="10" s="1"/>
  <c r="C66" i="5"/>
  <c r="G10" i="14"/>
  <c r="G18" i="14" s="1"/>
  <c r="P31" i="10" s="1"/>
  <c r="F18" i="14"/>
  <c r="B6" i="3"/>
  <c r="H53" i="10" l="1"/>
  <c r="F53" i="10"/>
  <c r="G53" i="10"/>
  <c r="E6" i="3"/>
  <c r="C7" i="3" s="1"/>
  <c r="F7" i="3" l="1"/>
  <c r="B7" i="3" l="1"/>
  <c r="E7" i="3" l="1"/>
  <c r="C8" i="3" s="1"/>
  <c r="F8" i="3" l="1"/>
  <c r="B8" i="3"/>
  <c r="E8" i="3" l="1"/>
  <c r="C9" i="3" l="1"/>
  <c r="B9" i="3" l="1"/>
  <c r="E9" i="3" s="1"/>
  <c r="C10" i="3" s="1"/>
  <c r="B10" i="3" s="1"/>
  <c r="E10" i="3" s="1"/>
  <c r="C11" i="3" s="1"/>
  <c r="F9" i="3"/>
  <c r="B11" i="3" l="1"/>
  <c r="E11" i="3" l="1"/>
  <c r="C12" i="3" s="1"/>
  <c r="B12" i="3" l="1"/>
  <c r="E12" i="3" l="1"/>
  <c r="C13" i="3" s="1"/>
  <c r="B13" i="3" l="1"/>
  <c r="E13" i="3" l="1"/>
  <c r="C14" i="3" s="1"/>
  <c r="B14" i="3" l="1"/>
  <c r="E14" i="3" l="1"/>
  <c r="C15" i="3" l="1"/>
  <c r="C16" i="3" s="1"/>
  <c r="B15" i="3" l="1"/>
  <c r="B16" i="3" s="1"/>
  <c r="E15" i="3" l="1"/>
  <c r="C17" i="3" s="1"/>
  <c r="B14" i="8"/>
  <c r="C40" i="9" s="1"/>
  <c r="B25" i="14" l="1"/>
  <c r="B28" i="14" s="1"/>
  <c r="C39" i="9"/>
  <c r="C38" i="9" l="1"/>
  <c r="C41" i="9" s="1"/>
  <c r="B17" i="3"/>
  <c r="E17" i="3" l="1"/>
  <c r="C18" i="3" s="1"/>
  <c r="B18" i="3" l="1"/>
  <c r="E18" i="3" l="1"/>
  <c r="C19" i="3" s="1"/>
  <c r="B19" i="3" l="1"/>
  <c r="E19" i="3" l="1"/>
  <c r="C20" i="3" s="1"/>
  <c r="B20" i="3" l="1"/>
  <c r="E20" i="3" l="1"/>
  <c r="C21" i="3" s="1"/>
  <c r="B21" i="3" l="1"/>
  <c r="E21" i="3" l="1"/>
  <c r="C22" i="3" s="1"/>
  <c r="B22" i="3" l="1"/>
  <c r="E22" i="3" s="1"/>
  <c r="C23" i="3" s="1"/>
  <c r="B23" i="3" l="1"/>
  <c r="E23" i="3" s="1"/>
  <c r="C24" i="3" s="1"/>
  <c r="B24" i="3" l="1"/>
  <c r="E24" i="3" s="1"/>
  <c r="C25" i="3" s="1"/>
  <c r="B25" i="3" l="1"/>
  <c r="E25" i="3" s="1"/>
  <c r="C26" i="3" s="1"/>
  <c r="B26" i="3" l="1"/>
  <c r="E26" i="3" s="1"/>
  <c r="C27" i="3" s="1"/>
  <c r="B27" i="3" l="1"/>
  <c r="E27" i="3" s="1"/>
  <c r="C28" i="3" l="1"/>
  <c r="B28" i="3" s="1"/>
  <c r="B29" i="3" s="1"/>
  <c r="E28" i="3" l="1"/>
  <c r="C30" i="3" s="1"/>
  <c r="C25" i="14"/>
  <c r="C29" i="3"/>
  <c r="C14" i="8" s="1"/>
  <c r="D40" i="9" l="1"/>
  <c r="D39" i="9"/>
  <c r="B30" i="3"/>
  <c r="D38" i="9" l="1"/>
  <c r="D41" i="9"/>
  <c r="E30" i="3"/>
  <c r="C31" i="3" s="1"/>
  <c r="B31" i="3" l="1"/>
  <c r="E31" i="3" l="1"/>
  <c r="C32" i="3" s="1"/>
  <c r="B32" i="3" l="1"/>
  <c r="E32" i="3" l="1"/>
  <c r="C33" i="3" s="1"/>
  <c r="B33" i="3" l="1"/>
  <c r="E33" i="3" l="1"/>
  <c r="C34" i="3" s="1"/>
  <c r="B34" i="3" l="1"/>
  <c r="E34" i="3" l="1"/>
  <c r="C35" i="3" s="1"/>
  <c r="B35" i="3" l="1"/>
  <c r="E35" i="3" s="1"/>
  <c r="C36" i="3" s="1"/>
  <c r="B36" i="3" l="1"/>
  <c r="E36" i="3" s="1"/>
  <c r="C37" i="3" s="1"/>
  <c r="B37" i="3" l="1"/>
  <c r="E37" i="3" s="1"/>
  <c r="C38" i="3" s="1"/>
  <c r="B38" i="3" l="1"/>
  <c r="E38" i="3" s="1"/>
  <c r="C39" i="3" s="1"/>
  <c r="B39" i="3" l="1"/>
  <c r="E39" i="3" s="1"/>
  <c r="C40" i="3" s="1"/>
  <c r="B40" i="3" l="1"/>
  <c r="E40" i="3" s="1"/>
  <c r="C41" i="3" l="1"/>
  <c r="B41" i="3" s="1"/>
  <c r="B42" i="3" s="1"/>
  <c r="E39" i="9" l="1"/>
  <c r="D25" i="14"/>
  <c r="E41" i="3"/>
  <c r="C43" i="3" s="1"/>
  <c r="C42" i="3"/>
  <c r="D14" i="8" s="1"/>
  <c r="E40" i="9" s="1"/>
  <c r="E38" i="9" l="1"/>
  <c r="B43" i="3"/>
  <c r="E43" i="3" l="1"/>
  <c r="C44" i="3" s="1"/>
  <c r="B44" i="3" l="1"/>
  <c r="E44" i="3" l="1"/>
  <c r="C45" i="3" s="1"/>
  <c r="B45" i="3" l="1"/>
  <c r="E45" i="3" l="1"/>
  <c r="C46" i="3" s="1"/>
  <c r="B46" i="3" l="1"/>
  <c r="E46" i="3" l="1"/>
  <c r="C47" i="3" s="1"/>
  <c r="B47" i="3" l="1"/>
  <c r="E47" i="3" l="1"/>
  <c r="C48" i="3" s="1"/>
  <c r="B48" i="3" l="1"/>
  <c r="E48" i="3" s="1"/>
  <c r="C49" i="3" s="1"/>
  <c r="B49" i="3" l="1"/>
  <c r="E49" i="3" s="1"/>
  <c r="C50" i="3" s="1"/>
  <c r="B50" i="3" l="1"/>
  <c r="E50" i="3" s="1"/>
  <c r="C51" i="3" s="1"/>
  <c r="B51" i="3" l="1"/>
  <c r="E51" i="3" s="1"/>
  <c r="C52" i="3" s="1"/>
  <c r="B52" i="3" l="1"/>
  <c r="E52" i="3" s="1"/>
  <c r="C53" i="3" s="1"/>
  <c r="B53" i="3" l="1"/>
  <c r="E53" i="3" s="1"/>
  <c r="C54" i="3" l="1"/>
  <c r="B54" i="3" s="1"/>
  <c r="B55" i="3" s="1"/>
  <c r="F39" i="9" l="1"/>
  <c r="E25" i="14"/>
  <c r="C55" i="3"/>
  <c r="E14" i="8" s="1"/>
  <c r="F40" i="9" s="1"/>
  <c r="E54" i="3"/>
  <c r="C56" i="3" s="1"/>
  <c r="B56" i="3" s="1"/>
  <c r="F38" i="9" l="1"/>
  <c r="F41" i="9" s="1"/>
  <c r="E56" i="3"/>
  <c r="C57" i="3" s="1"/>
  <c r="B57" i="3" s="1"/>
  <c r="E57" i="3" s="1"/>
  <c r="C58" i="3" s="1"/>
  <c r="B58" i="3" s="1"/>
  <c r="E58" i="3" s="1"/>
  <c r="C59" i="3" s="1"/>
  <c r="B59" i="3" l="1"/>
  <c r="E59" i="3" s="1"/>
  <c r="C60" i="3" s="1"/>
  <c r="B60" i="3" l="1"/>
  <c r="E60" i="3" s="1"/>
  <c r="C61" i="3" s="1"/>
  <c r="B61" i="3" l="1"/>
  <c r="E61" i="3" s="1"/>
  <c r="C62" i="3" s="1"/>
  <c r="B62" i="3" l="1"/>
  <c r="E62" i="3" l="1"/>
  <c r="C63" i="3" s="1"/>
  <c r="B63" i="3" l="1"/>
  <c r="E63" i="3" l="1"/>
  <c r="C64" i="3" s="1"/>
  <c r="B64" i="3" l="1"/>
  <c r="E64" i="3" l="1"/>
  <c r="C65" i="3" s="1"/>
  <c r="B65" i="3" l="1"/>
  <c r="E65" i="3" l="1"/>
  <c r="C66" i="3" s="1"/>
  <c r="B66" i="3" l="1"/>
  <c r="E66" i="3" l="1"/>
  <c r="C67" i="3" l="1"/>
  <c r="B67" i="3" s="1"/>
  <c r="B68" i="3" s="1"/>
  <c r="F25" i="14" s="1"/>
  <c r="B69" i="3" l="1"/>
  <c r="G39" i="9"/>
  <c r="C68" i="3"/>
  <c r="F14" i="8" s="1"/>
  <c r="G40" i="9" s="1"/>
  <c r="E67" i="3"/>
  <c r="G38" i="9" l="1"/>
  <c r="G41" i="9"/>
  <c r="B30" i="14"/>
  <c r="B31" i="14" s="1"/>
  <c r="B32" i="14" s="1"/>
  <c r="C30" i="14"/>
  <c r="C31" i="14" s="1"/>
  <c r="E30" i="14"/>
  <c r="E31" i="14" s="1"/>
  <c r="D30" i="14"/>
  <c r="D31" i="14" s="1"/>
  <c r="E41" i="9"/>
  <c r="D53" i="5"/>
  <c r="D54" i="5" s="1"/>
  <c r="D61" i="5" s="1"/>
  <c r="C61" i="5"/>
  <c r="C62" i="5" s="1"/>
  <c r="I43" i="2" s="1"/>
  <c r="I47" i="2" s="1"/>
  <c r="I54" i="2" s="1"/>
  <c r="I55" i="2" s="1"/>
  <c r="I63" i="2" s="1"/>
  <c r="I61" i="2" l="1"/>
  <c r="B22" i="9" s="1"/>
  <c r="J60" i="2"/>
  <c r="J62" i="2"/>
  <c r="B13" i="10" s="1"/>
  <c r="D62" i="5"/>
  <c r="C67" i="5"/>
  <c r="B52" i="10"/>
  <c r="J61" i="2" l="1"/>
  <c r="J63" i="2" s="1"/>
  <c r="C68" i="5"/>
  <c r="B22" i="8"/>
  <c r="B56" i="10"/>
  <c r="B53" i="10"/>
  <c r="B35" i="14"/>
  <c r="B39" i="14" s="1"/>
  <c r="B21" i="9"/>
  <c r="B34" i="9" s="1"/>
  <c r="B42" i="9" s="1"/>
  <c r="B18" i="10"/>
  <c r="B12" i="8"/>
  <c r="C13" i="9" s="1"/>
  <c r="C4" i="7"/>
  <c r="C5" i="7" s="1"/>
  <c r="C7" i="7" s="1"/>
  <c r="C9" i="7" s="1"/>
  <c r="B2" i="8" s="1"/>
  <c r="B15" i="8" s="1"/>
  <c r="C18" i="9" s="1"/>
  <c r="C71" i="5"/>
  <c r="C72" i="5" s="1"/>
  <c r="C8" i="9" l="1"/>
  <c r="C3" i="9"/>
  <c r="B6" i="14" s="1"/>
  <c r="B12" i="10"/>
  <c r="B14" i="10" s="1"/>
  <c r="B15" i="10" s="1"/>
  <c r="B19" i="10"/>
  <c r="B41" i="14"/>
  <c r="C35" i="14"/>
  <c r="F2" i="8"/>
  <c r="F15" i="8" s="1"/>
  <c r="G18" i="9" s="1"/>
  <c r="C2" i="8"/>
  <c r="C15" i="8" s="1"/>
  <c r="D18" i="9" s="1"/>
  <c r="D2" i="8"/>
  <c r="D15" i="8" s="1"/>
  <c r="E18" i="9" s="1"/>
  <c r="E2" i="8"/>
  <c r="E15" i="8" s="1"/>
  <c r="F18" i="9" s="1"/>
  <c r="C11" i="7"/>
  <c r="C13" i="7" s="1"/>
  <c r="B55" i="10"/>
  <c r="B8" i="14" l="1"/>
  <c r="B22" i="14" s="1"/>
  <c r="B43" i="14" s="1"/>
  <c r="N31" i="10"/>
  <c r="E6" i="9"/>
  <c r="E5" i="9" s="1"/>
  <c r="D4" i="8"/>
  <c r="D18" i="8"/>
  <c r="D6" i="9"/>
  <c r="D5" i="9" s="1"/>
  <c r="C23" i="8"/>
  <c r="C4" i="8"/>
  <c r="M31" i="10"/>
  <c r="C18" i="8"/>
  <c r="O31" i="10"/>
  <c r="E18" i="8"/>
  <c r="F6" i="9"/>
  <c r="F5" i="9" s="1"/>
  <c r="E4" i="8"/>
  <c r="F4" i="8"/>
  <c r="G6" i="9"/>
  <c r="G5" i="9" s="1"/>
  <c r="F18" i="8"/>
  <c r="G27" i="14" s="1"/>
  <c r="B4" i="8"/>
  <c r="L31" i="10"/>
  <c r="B57" i="10"/>
  <c r="B18" i="8"/>
  <c r="C6" i="9"/>
  <c r="C5" i="9" s="1"/>
  <c r="C19" i="9" s="1"/>
  <c r="C22" i="8"/>
  <c r="D35" i="14"/>
  <c r="E52" i="10"/>
  <c r="E56" i="10" s="1"/>
  <c r="C47" i="10"/>
  <c r="G51" i="10" s="1"/>
  <c r="C42" i="9" l="1"/>
  <c r="E27" i="14"/>
  <c r="F17" i="9"/>
  <c r="E35" i="14"/>
  <c r="D27" i="14"/>
  <c r="E17" i="9"/>
  <c r="D17" i="9"/>
  <c r="C27" i="14"/>
  <c r="C12" i="8"/>
  <c r="D13" i="9" s="1"/>
  <c r="D22" i="8"/>
  <c r="B54" i="10"/>
  <c r="B9" i="8"/>
  <c r="G54" i="10"/>
  <c r="G55" i="10" s="1"/>
  <c r="F51" i="10"/>
  <c r="G52" i="10"/>
  <c r="G17" i="9"/>
  <c r="F27" i="14"/>
  <c r="D23" i="8"/>
  <c r="C8" i="8"/>
  <c r="D11" i="9" s="1"/>
  <c r="D3" i="9" l="1"/>
  <c r="C6" i="14" s="1"/>
  <c r="C8" i="14" s="1"/>
  <c r="C22" i="14" s="1"/>
  <c r="C9" i="8"/>
  <c r="M40" i="10" s="1"/>
  <c r="C18" i="10"/>
  <c r="C19" i="10" s="1"/>
  <c r="G56" i="10"/>
  <c r="E22" i="8"/>
  <c r="D12" i="8"/>
  <c r="F35" i="14"/>
  <c r="F54" i="10"/>
  <c r="F55" i="10" s="1"/>
  <c r="F52" i="10"/>
  <c r="H51" i="10"/>
  <c r="E23" i="8"/>
  <c r="D8" i="8"/>
  <c r="B13" i="8"/>
  <c r="B16" i="8" s="1"/>
  <c r="L40" i="10"/>
  <c r="C46" i="10"/>
  <c r="C48" i="10"/>
  <c r="C49" i="10" s="1"/>
  <c r="C13" i="8" l="1"/>
  <c r="C16" i="8" s="1"/>
  <c r="C17" i="8" s="1"/>
  <c r="C19" i="8" s="1"/>
  <c r="L30" i="10"/>
  <c r="E11" i="9"/>
  <c r="D9" i="8"/>
  <c r="N40" i="10" s="1"/>
  <c r="F56" i="10"/>
  <c r="H54" i="10"/>
  <c r="H55" i="10" s="1"/>
  <c r="H52" i="10"/>
  <c r="G35" i="14"/>
  <c r="B17" i="8"/>
  <c r="B19" i="8" s="1"/>
  <c r="L32" i="10"/>
  <c r="C20" i="10"/>
  <c r="E13" i="9"/>
  <c r="F23" i="8"/>
  <c r="F8" i="8" s="1"/>
  <c r="E8" i="8"/>
  <c r="F22" i="8"/>
  <c r="F12" i="8" s="1"/>
  <c r="E12" i="8"/>
  <c r="D13" i="8" l="1"/>
  <c r="D16" i="8" s="1"/>
  <c r="D17" i="8" s="1"/>
  <c r="D19" i="8" s="1"/>
  <c r="F11" i="9"/>
  <c r="E9" i="8"/>
  <c r="O40" i="10" s="1"/>
  <c r="G11" i="9"/>
  <c r="F9" i="8"/>
  <c r="P40" i="10" s="1"/>
  <c r="H56" i="10"/>
  <c r="F13" i="9"/>
  <c r="G13" i="9"/>
  <c r="E16" i="9"/>
  <c r="D26" i="14"/>
  <c r="D28" i="14" s="1"/>
  <c r="M41" i="10"/>
  <c r="C20" i="8"/>
  <c r="C21" i="8" s="1"/>
  <c r="D37" i="14" s="1"/>
  <c r="C26" i="14"/>
  <c r="C28" i="14" s="1"/>
  <c r="D16" i="9"/>
  <c r="L41" i="10"/>
  <c r="L42" i="10"/>
  <c r="B20" i="8"/>
  <c r="B21" i="8" s="1"/>
  <c r="C37" i="14" s="1"/>
  <c r="D38" i="14" s="1"/>
  <c r="E38" i="14" l="1"/>
  <c r="D8" i="9"/>
  <c r="D19" i="9" s="1"/>
  <c r="D42" i="9" s="1"/>
  <c r="E13" i="8"/>
  <c r="E16" i="8" s="1"/>
  <c r="E17" i="8" s="1"/>
  <c r="E19" i="8" s="1"/>
  <c r="E8" i="9"/>
  <c r="E19" i="9" s="1"/>
  <c r="E42" i="9" s="1"/>
  <c r="E18" i="10" s="1"/>
  <c r="E19" i="10" s="1"/>
  <c r="F13" i="8"/>
  <c r="F16" i="8" s="1"/>
  <c r="D32" i="14"/>
  <c r="C32" i="14"/>
  <c r="L25" i="10"/>
  <c r="L26" i="10"/>
  <c r="L27" i="10"/>
  <c r="C31" i="8"/>
  <c r="D36" i="14" s="1"/>
  <c r="B31" i="8"/>
  <c r="C36" i="14" s="1"/>
  <c r="N41" i="10"/>
  <c r="D20" i="8"/>
  <c r="D31" i="8" s="1"/>
  <c r="E36" i="14" s="1"/>
  <c r="F16" i="9"/>
  <c r="E26" i="14"/>
  <c r="E28" i="14" s="1"/>
  <c r="E32" i="14" s="1"/>
  <c r="E3" i="9" l="1"/>
  <c r="D6" i="14" s="1"/>
  <c r="D8" i="14" s="1"/>
  <c r="M26" i="10" s="1"/>
  <c r="D18" i="10"/>
  <c r="F8" i="9"/>
  <c r="F19" i="9" s="1"/>
  <c r="F42" i="9" s="1"/>
  <c r="F3" i="9"/>
  <c r="E6" i="14" s="1"/>
  <c r="E8" i="14" s="1"/>
  <c r="E22" i="14" s="1"/>
  <c r="D21" i="8"/>
  <c r="E37" i="14" s="1"/>
  <c r="F38" i="14" s="1"/>
  <c r="F17" i="8"/>
  <c r="G26" i="14" s="1"/>
  <c r="G28" i="14" s="1"/>
  <c r="G32" i="14" s="1"/>
  <c r="D19" i="10"/>
  <c r="C39" i="14"/>
  <c r="L37" i="10" s="1"/>
  <c r="D39" i="14"/>
  <c r="D41" i="14" s="1"/>
  <c r="L35" i="10"/>
  <c r="G16" i="9"/>
  <c r="F26" i="14"/>
  <c r="F28" i="14" s="1"/>
  <c r="F32" i="14" s="1"/>
  <c r="E20" i="8"/>
  <c r="E21" i="8" s="1"/>
  <c r="F37" i="14" s="1"/>
  <c r="O41" i="10"/>
  <c r="M27" i="10" l="1"/>
  <c r="D22" i="14"/>
  <c r="M42" i="10" s="1"/>
  <c r="M30" i="10"/>
  <c r="G38" i="14"/>
  <c r="M25" i="10"/>
  <c r="F18" i="10"/>
  <c r="F19" i="10" s="1"/>
  <c r="G3" i="9"/>
  <c r="F6" i="14" s="1"/>
  <c r="F8" i="14" s="1"/>
  <c r="F22" i="14" s="1"/>
  <c r="E39" i="14"/>
  <c r="E41" i="14" s="1"/>
  <c r="E43" i="14" s="1"/>
  <c r="G8" i="9"/>
  <c r="G19" i="9" s="1"/>
  <c r="G42" i="9" s="1"/>
  <c r="N25" i="10"/>
  <c r="N26" i="10"/>
  <c r="N27" i="10"/>
  <c r="N30" i="10"/>
  <c r="C41" i="14"/>
  <c r="C43" i="14" s="1"/>
  <c r="D43" i="14"/>
  <c r="M32" i="10"/>
  <c r="D20" i="10"/>
  <c r="E20" i="10"/>
  <c r="F20" i="10"/>
  <c r="N32" i="10"/>
  <c r="N42" i="10"/>
  <c r="E31" i="8"/>
  <c r="F36" i="14" s="1"/>
  <c r="F39" i="14" s="1"/>
  <c r="F41" i="14" s="1"/>
  <c r="M35" i="10"/>
  <c r="M37" i="10"/>
  <c r="F19" i="8"/>
  <c r="N35" i="10"/>
  <c r="O30" i="10" l="1"/>
  <c r="O26" i="10"/>
  <c r="O27" i="10"/>
  <c r="N37" i="10"/>
  <c r="O25" i="10"/>
  <c r="G18" i="10"/>
  <c r="H3" i="9"/>
  <c r="G6" i="14" s="1"/>
  <c r="G8" i="14" s="1"/>
  <c r="G22" i="14" s="1"/>
  <c r="P42" i="10" s="1"/>
  <c r="O37" i="10"/>
  <c r="P41" i="10"/>
  <c r="F20" i="8"/>
  <c r="F31" i="8" s="1"/>
  <c r="G36" i="14" s="1"/>
  <c r="O32" i="10"/>
  <c r="O42" i="10"/>
  <c r="O35" i="10"/>
  <c r="F43" i="14"/>
  <c r="P26" i="10" l="1"/>
  <c r="P25" i="10"/>
  <c r="P27" i="10"/>
  <c r="P30" i="10"/>
  <c r="G19" i="10"/>
  <c r="G20" i="10" s="1"/>
  <c r="B22" i="10"/>
  <c r="B23" i="10"/>
  <c r="F21" i="8"/>
  <c r="G37" i="14" s="1"/>
  <c r="G39" i="14" s="1"/>
  <c r="G41" i="14" s="1"/>
  <c r="P32" i="10"/>
  <c r="P35" i="10"/>
  <c r="P37" i="10" l="1"/>
  <c r="G43" i="14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tc={BFB0835A-F234-47F0-9633-115BE85D9214}</author>
    <author>tc={9DFF0F7B-B729-409B-BBA7-C342A498208D}</author>
    <author>tc={14A05D52-B955-4974-AB61-AF5B788B1585}</author>
    <author>tc={E2AAD241-A904-427E-92BF-E3226182498C}</author>
    <author>tc={3779F2C7-D3B5-4D14-A0B6-9E86AA254259}</author>
    <author>tc={5912847C-D0F9-45DD-9ECE-E148A62FF936}</author>
    <author>tc={18504929-39C5-4456-B3F3-AEB0DCF724E6}</author>
    <author>tc={894E0D3E-6F20-43DE-895D-4AAE93209558}</author>
    <author>tc={C93F9F17-B841-41FB-8A29-BFEDB835EB3B}</author>
    <author>tc={23A494F2-EC62-4019-A0D7-AD5F93592C88}</author>
    <author>57316</author>
    <author>tc={C29EF0B9-240C-4638-A5C1-CD0C3B5525B5}</author>
  </authors>
  <commentList>
    <comment ref="C5" authorId="0" shapeId="0" xr:uid="{BFB0835A-F234-47F0-9633-115BE85D9214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Digite en esta celda la capacidad que diseñó para su proyecto</t>
      </text>
    </comment>
    <comment ref="C6" authorId="1" shapeId="0" xr:uid="{9DFF0F7B-B729-409B-BBA7-C342A498208D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Digite en esta celda la capacidad que instaló para su proyecto</t>
      </text>
    </comment>
    <comment ref="B31" authorId="2" shapeId="0" xr:uid="{14A05D52-B955-4974-AB61-AF5B788B1585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materiales, insumos y otros por línea de producto o servicio, cuantificando para la capacidad utilizada del año 1.)</t>
      </text>
    </comment>
    <comment ref="C32" authorId="3" shapeId="0" xr:uid="{E2AAD241-A904-427E-92BF-E3226182498C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al por mayor: galón, litro, bulto de 50 Kg, cuñete, tambor, kilo, rollo de 500 m, etc.</t>
      </text>
    </comment>
    <comment ref="D32" authorId="4" shapeId="0" xr:uid="{3779F2C7-D3B5-4D14-A0B6-9E86AA254259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Divida la cantidad por unidad de producto entre la unidad de medida; por ejemplo: si necesita 5  c.c. y la unidad de medida es el litro, entonces= 5/1000=0.005</t>
      </text>
    </comment>
    <comment ref="I33" authorId="5" shapeId="0" xr:uid="{5912847C-D0F9-45DD-9ECE-E148A62FF936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Registra el costo histórico del equipo mobiliario, mecánico y electrónico de propiedad del ente económico, utilizado para el desarrollo de sus operaciones.(https://puc.com.co/)</t>
      </text>
    </comment>
    <comment ref="B56" authorId="6" shapeId="0" xr:uid="{18504929-39C5-4456-B3F3-AEB0DCF724E6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materiales indirectos, insumos y otros por línea de producto o servicio, cuantificando para la capacidad utilizada del año 1.)</t>
      </text>
    </comment>
    <comment ref="C57" authorId="7" shapeId="0" xr:uid="{894E0D3E-6F20-43DE-895D-4AAE93209558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al por mayor: galón, litro, bulto de 50 Kg, cuñete, tambor, kilo, rollo de 500 m, etc.</t>
      </text>
    </comment>
    <comment ref="D57" authorId="8" shapeId="0" xr:uid="{C93F9F17-B841-41FB-8A29-BFEDB835EB3B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Divida la cantidad por unidad de producto entre la unidad de medida; por ejemplo: si necesita 5  c.c. y la unidad de medida es el litro, entonces= 5/1000=0.005</t>
      </text>
    </comment>
    <comment ref="I75" authorId="9" shapeId="0" xr:uid="{23A494F2-EC62-4019-A0D7-AD5F93592C88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solo operativos</t>
      </text>
    </comment>
    <comment ref="D77" authorId="10" shapeId="0" xr:uid="{AD3662CB-DEA9-4FC1-9D53-674F4172D63B}">
      <text>
        <r>
          <rPr>
            <b/>
            <sz val="9"/>
            <color indexed="81"/>
            <rFont val="Tahoma"/>
            <family val="2"/>
          </rPr>
          <t>57316:</t>
        </r>
        <r>
          <rPr>
            <sz val="9"/>
            <color indexed="81"/>
            <rFont val="Tahoma"/>
            <family val="2"/>
          </rPr>
          <t xml:space="preserve">
Califique cada factor de 1 a 10, donde 1 es desfavorable y 10 es favorable
</t>
        </r>
      </text>
    </comment>
    <comment ref="I98" authorId="11" shapeId="0" xr:uid="{C29EF0B9-240C-4638-A5C1-CD0C3B5525B5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Comprende conceptos tales como elementos necesarios para mantenimiento y reparaciones, herramientas e implementos de trabajo, repuestos para maquinaria y equipo de producción. (https://puc.com.co/)</t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tc={2704BB61-B7CF-49D7-B528-C1043D64377E}</author>
    <author>57316</author>
    <author>tc={A023FAE7-B0DC-4B6C-991C-BB370FFFEE97}</author>
    <author>tc={3818AEE7-BA5E-48CC-BB8C-1A20E543D4FC}</author>
    <author>tc={310BF26D-51B1-4CCB-90FC-4C31A5F27907}</author>
    <author>tc={EDAF1C67-E244-461E-A932-D6F44D5471E2}</author>
    <author>tc={4F77070F-2C0D-4CAB-9E74-E8A3611C68CD}</author>
  </authors>
  <commentList>
    <comment ref="A2" authorId="0" shapeId="0" xr:uid="{2704BB61-B7CF-49D7-B528-C1043D64377E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Registra el costo histórico del equipo mobiliario, mecánico y electrónico de propiedad del ente económico, utilizado para el desarrollo de sus operaciones.(https://puc.com.co/)</t>
      </text>
    </comment>
    <comment ref="F3" authorId="1" shapeId="0" xr:uid="{364D06BE-9C9E-4875-8514-6EB48B0B438F}">
      <text>
        <r>
          <rPr>
            <b/>
            <sz val="9"/>
            <color indexed="81"/>
            <rFont val="Tahoma"/>
            <family val="2"/>
          </rPr>
          <t>57316:</t>
        </r>
        <r>
          <rPr>
            <sz val="9"/>
            <color indexed="81"/>
            <rFont val="Tahoma"/>
            <family val="2"/>
          </rPr>
          <t xml:space="preserve">
Defina el valor de salvamento del activo, o valor comercial que espera recuperar</t>
        </r>
      </text>
    </comment>
    <comment ref="J7" authorId="2" shapeId="0" xr:uid="{A023FAE7-B0DC-4B6C-991C-BB370FFFEE97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Digite el valor de salvamento</t>
      </text>
    </comment>
    <comment ref="I10" authorId="3" shapeId="0" xr:uid="{3818AEE7-BA5E-48CC-BB8C-1A20E543D4FC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Si es una comercializadora, defina un presupuesto para inventario de mercancía para la venta</t>
      </text>
    </comment>
    <comment ref="J41" authorId="4" shapeId="0" xr:uid="{310BF26D-51B1-4CCB-90FC-4C31A5F27907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Número de meses para capital de trabajo</t>
      </text>
    </comment>
    <comment ref="A46" authorId="5" shapeId="0" xr:uid="{EDAF1C67-E244-461E-A932-D6F44D5471E2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solo operativos</t>
      </text>
    </comment>
    <comment ref="A71" authorId="6" shapeId="0" xr:uid="{4F77070F-2C0D-4CAB-9E74-E8A3611C68CD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Comprende conceptos tales como elementos necesarios para mantenimiento y reparaciones, herramientas e implementos de trabajo, repuestos para maquinaria y equipo de producción. (https://puc.com.co/)</t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tc={F3097536-9CD6-4DDF-8742-87E2D7FB1ABF}</author>
    <author>tc={29DFD426-069E-4224-8DC9-25BE1F21BF52}</author>
    <author>tc={D74D85E8-1AA5-456E-B638-36A95326FE9D}</author>
    <author>tc={ECDE29E9-FD81-456E-8713-DF384C00C385}</author>
    <author>tc={5D51110E-666F-444B-A593-A13BC72443BC}</author>
    <author>tc={6BA4F126-003E-420E-9BCD-FF3A9E0B2A76}</author>
  </authors>
  <commentList>
    <comment ref="C5" authorId="0" shapeId="0" xr:uid="{F3097536-9CD6-4DDF-8742-87E2D7FB1ABF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Porcentajes sujetos a legislación</t>
      </text>
    </comment>
    <comment ref="B20" authorId="1" shapeId="0" xr:uid="{29DFD426-069E-4224-8DC9-25BE1F21BF52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materiales, inventarios, materiales indirectos, insumos y otros por línea de producto o servicio, cuantificando para la capacidad utilizada del año 1.)</t>
      </text>
    </comment>
    <comment ref="C21" authorId="2" shapeId="0" xr:uid="{D74D85E8-1AA5-456E-B638-36A95326FE9D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al por mayor: galón, litro, bulto de 50 Kg, cuñete, tambor, kilo, rollo de 500 m, etc.</t>
      </text>
    </comment>
    <comment ref="B45" authorId="3" shapeId="0" xr:uid="{ECDE29E9-FD81-456E-8713-DF384C00C385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materiales, inventarios, materiales indirectos, insumos y otros por línea de producto o servicio, cuantificando para la capacidad utilizada del año 1.)</t>
      </text>
    </comment>
    <comment ref="C46" authorId="4" shapeId="0" xr:uid="{5D51110E-666F-444B-A593-A13BC72443BC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al por mayor: galón, litro, bulto de 50 Kg, cuñete, tambor, kilo, rollo de 500 m, etc.</t>
      </text>
    </comment>
    <comment ref="E99" authorId="5" shapeId="0" xr:uid="{6BA4F126-003E-420E-9BCD-FF3A9E0B2A76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porcentaje para mantenimiento de activos operativos</t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tc={4A340B15-638E-4BB5-98C0-D5EBB70FB31B}</author>
    <author>tc={B893E75F-E1FA-419A-A38D-7CC7D0DB0D4E}</author>
    <author>tc={AD236284-A61D-4D7D-B4F6-856CE0A0DC36}</author>
    <author>tc={EC469E02-B723-435C-91FE-2ECC200065AA}</author>
  </authors>
  <commentList>
    <comment ref="C5" authorId="0" shapeId="0" xr:uid="{4A340B15-638E-4BB5-98C0-D5EBB70FB31B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Porcentajes sujetos a legislación</t>
      </text>
    </comment>
    <comment ref="K5" authorId="1" shapeId="0" xr:uid="{B893E75F-E1FA-419A-A38D-7CC7D0DB0D4E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Porcentajes sujetos a legislación</t>
      </text>
    </comment>
    <comment ref="B35" authorId="2" shapeId="0" xr:uid="{AD236284-A61D-4D7D-B4F6-856CE0A0DC36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Office, diseño, plataformas</t>
      </text>
    </comment>
    <comment ref="C53" authorId="3" shapeId="0" xr:uid="{EC469E02-B723-435C-91FE-2ECC200065AA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Presupuesto máximo por comisiones de ventas que incluye prestaciones sociales</t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tc={60FA7014-5380-490D-8B3A-9A8D44BFE428}</author>
  </authors>
  <commentList>
    <comment ref="C12" authorId="0" shapeId="0" xr:uid="{60FA7014-5380-490D-8B3A-9A8D44BFE428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Tasa sujeta a legislación tributaria</t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tc={CB8629BF-B4F4-4EDE-A493-83686ED2A4AC}</author>
    <author>tc={FD507623-2DD2-4299-96EB-F68E196BBD34}</author>
  </authors>
  <commentList>
    <comment ref="G17" authorId="0" shapeId="0" xr:uid="{CB8629BF-B4F4-4EDE-A493-83686ED2A4AC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tasa de Imporenta acorde a legislación tributaria</t>
      </text>
    </comment>
    <comment ref="G18" authorId="1" shapeId="0" xr:uid="{FD507623-2DD2-4299-96EB-F68E196BBD34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Tasa de Impuesto de Industria y Comercio del municipio de domicilio y según CIIU</t>
      </text>
    </comment>
  </commentList>
</comments>
</file>

<file path=xl/comments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tc={2C1CF0C5-F28C-46F9-9B52-637AE43F6E47}</author>
    <author>tc={80058EAE-F078-45F9-8A3D-3B8504405190}</author>
  </authors>
  <commentList>
    <comment ref="B7" authorId="0" shapeId="0" xr:uid="{2C1CF0C5-F28C-46F9-9B52-637AE43F6E47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Seleccione el nivel de riesgo de la inversión y justifique</t>
      </text>
    </comment>
    <comment ref="B8" authorId="1" shapeId="0" xr:uid="{80058EAE-F078-45F9-8A3D-3B8504405190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Halle el promedio del IPC de los últimos 5 años</t>
      </text>
    </comment>
  </commentList>
</comments>
</file>

<file path=xl/sharedStrings.xml><?xml version="1.0" encoding="utf-8"?>
<sst xmlns="http://schemas.openxmlformats.org/spreadsheetml/2006/main" count="689" uniqueCount="413">
  <si>
    <t>TOTALES</t>
  </si>
  <si>
    <t>Equipo de oficina</t>
  </si>
  <si>
    <t>inv. Fija</t>
  </si>
  <si>
    <t>ACTIVO</t>
  </si>
  <si>
    <t>inv diferida</t>
  </si>
  <si>
    <t>TOTAL</t>
  </si>
  <si>
    <t>capital de trabajo</t>
  </si>
  <si>
    <t>Gastos de administración y ventas</t>
  </si>
  <si>
    <t>Gastos financieros</t>
  </si>
  <si>
    <t>inversión total</t>
  </si>
  <si>
    <t>Inversión fija</t>
  </si>
  <si>
    <t>Inversión diferida</t>
  </si>
  <si>
    <t>Inversión capital de trabajo</t>
  </si>
  <si>
    <t>Capital social</t>
  </si>
  <si>
    <t>Préstamo bancario</t>
  </si>
  <si>
    <t>Préstamo</t>
  </si>
  <si>
    <t>Interés mensual</t>
  </si>
  <si>
    <t>Periodo</t>
  </si>
  <si>
    <t>Valor cuota mensual</t>
  </si>
  <si>
    <t>AÑO 1</t>
  </si>
  <si>
    <t>Gastos generales</t>
  </si>
  <si>
    <t>costos fijos</t>
  </si>
  <si>
    <t>Nómina administrativa</t>
  </si>
  <si>
    <t>costos variables</t>
  </si>
  <si>
    <t>UTILIDAD BRUTA</t>
  </si>
  <si>
    <t>MENOS GASTOS DE ADMINISTRACIÓN Y VENTAS</t>
  </si>
  <si>
    <t>UTILIDAD OPERACIONAL</t>
  </si>
  <si>
    <t>UTILIDAD ANTES DE IMPUESTOS</t>
  </si>
  <si>
    <t>Menos Impuesto de Renta</t>
  </si>
  <si>
    <t>UTILIDAD NETA</t>
  </si>
  <si>
    <t>Menos Reserva Legal</t>
  </si>
  <si>
    <t>UTILIDAD DEL EJERCICIO</t>
  </si>
  <si>
    <t>Inversión activos diferidos</t>
  </si>
  <si>
    <t>Abono a capital</t>
  </si>
  <si>
    <t>Valor de salvamento</t>
  </si>
  <si>
    <t>Saldo de caja anterior</t>
  </si>
  <si>
    <t>VPN</t>
  </si>
  <si>
    <t>TIR</t>
  </si>
  <si>
    <t>ventas</t>
  </si>
  <si>
    <t>costos totales</t>
  </si>
  <si>
    <t>utilidad</t>
  </si>
  <si>
    <t>MOD</t>
  </si>
  <si>
    <t>CIF</t>
  </si>
  <si>
    <t>Operacionales</t>
  </si>
  <si>
    <t>Costos totales de producción</t>
  </si>
  <si>
    <t>Año 1</t>
  </si>
  <si>
    <t>Año 2</t>
  </si>
  <si>
    <t>Año 3</t>
  </si>
  <si>
    <t>Año 4</t>
  </si>
  <si>
    <t>Año 5</t>
  </si>
  <si>
    <t xml:space="preserve"> </t>
  </si>
  <si>
    <t>ACTIVOS CORRIENTES</t>
  </si>
  <si>
    <t>TOTAL ACTIVOS CORRIENTES</t>
  </si>
  <si>
    <t>ACTIVOS FIJOS</t>
  </si>
  <si>
    <t>Menos depreciación acumulada</t>
  </si>
  <si>
    <t>TOTAL ACTIVOS FIJOS</t>
  </si>
  <si>
    <t>ACTIVOS DIFERIDOS</t>
  </si>
  <si>
    <t>Menos amortización acumulada</t>
  </si>
  <si>
    <t>TOTAL ACTIVOS DIFERIDOS</t>
  </si>
  <si>
    <t>ACTIVOS TOTALES</t>
  </si>
  <si>
    <t>PASIVOS CORRIENTES</t>
  </si>
  <si>
    <t>Impuesto de renta</t>
  </si>
  <si>
    <t>TOTAL PASIVOS CORRIENTES</t>
  </si>
  <si>
    <t>PASIVOS NO CORRIENTES</t>
  </si>
  <si>
    <t>Obligaciones financieras largo plazo</t>
  </si>
  <si>
    <t>TOTAL PASIVOS NO CORRIENTES</t>
  </si>
  <si>
    <t>PASIVOS TOTALES</t>
  </si>
  <si>
    <t>PATRIMONIO</t>
  </si>
  <si>
    <t>Reserva legal acumulada</t>
  </si>
  <si>
    <t>Utilidad del ejercicio</t>
  </si>
  <si>
    <t>PATRIMONIO TOTAL</t>
  </si>
  <si>
    <t>TOTAL PASIVO MÁS PATRIMONIO</t>
  </si>
  <si>
    <t>diferencia</t>
  </si>
  <si>
    <t>PASIVO</t>
  </si>
  <si>
    <t>Menos gastos financieros (Intereses)</t>
  </si>
  <si>
    <t>Amortización mensual</t>
  </si>
  <si>
    <t>Amortización anual</t>
  </si>
  <si>
    <t>MENOS COSTOS DE PRODUCCIÓN</t>
  </si>
  <si>
    <t>Maquinaria y equipo</t>
  </si>
  <si>
    <t>Arriendo</t>
  </si>
  <si>
    <t>Publicidad operativa</t>
  </si>
  <si>
    <t>Contador</t>
  </si>
  <si>
    <t>Papelería</t>
  </si>
  <si>
    <t>Teléfono</t>
  </si>
  <si>
    <t>Internet</t>
  </si>
  <si>
    <t>Crédito bancario</t>
  </si>
  <si>
    <t>precio de venta</t>
  </si>
  <si>
    <t>Amortización de diferidos</t>
  </si>
  <si>
    <t>reserva legal acumulada</t>
  </si>
  <si>
    <t>Capacidad instalada</t>
  </si>
  <si>
    <t>Porcentaje de utilización de la Capacidad instalada</t>
  </si>
  <si>
    <t>Capacidad utilizada y proyectada</t>
  </si>
  <si>
    <t>Porcentaje de Participación en el mercado</t>
  </si>
  <si>
    <t>Estudio de Factibilidad</t>
  </si>
  <si>
    <t>Licencia de funcionamiento</t>
  </si>
  <si>
    <t>Registro sanitario</t>
  </si>
  <si>
    <t>Escritura de Constitución</t>
  </si>
  <si>
    <t>Registro de libros y documentos</t>
  </si>
  <si>
    <t>Publicidad Lanzamiento</t>
  </si>
  <si>
    <t>materiales indirectos</t>
  </si>
  <si>
    <t>Depreciación operativa</t>
  </si>
  <si>
    <t>Precio de venta</t>
  </si>
  <si>
    <t>Adecuaciones-Remodelaciones</t>
  </si>
  <si>
    <t>Sotfware contable</t>
  </si>
  <si>
    <t>Total</t>
  </si>
  <si>
    <t>Materiales indirectos</t>
  </si>
  <si>
    <t>Asesor técnico</t>
  </si>
  <si>
    <t>Cuantifique la demanda anual actual</t>
  </si>
  <si>
    <t>Cuantifique la demanda efectiva actual</t>
  </si>
  <si>
    <t>AÑO</t>
  </si>
  <si>
    <t>Tasa de proyección</t>
  </si>
  <si>
    <t>DEMANDA EFECTIVA PROYECTADA</t>
  </si>
  <si>
    <t>DEMANDA ACTUAL PROYECTADA</t>
  </si>
  <si>
    <t>Presupuesto de lanzamiento</t>
  </si>
  <si>
    <t>DESCRIPCIÓN</t>
  </si>
  <si>
    <t>CANTIDAD</t>
  </si>
  <si>
    <t>VALOR UNITARIO</t>
  </si>
  <si>
    <t>VALOR ANUAL</t>
  </si>
  <si>
    <t>Presupuesto de operación</t>
  </si>
  <si>
    <t>VALOR MENSUAL</t>
  </si>
  <si>
    <t>Capacidad diseñada</t>
  </si>
  <si>
    <t>Talento humano</t>
  </si>
  <si>
    <t>CARGO</t>
  </si>
  <si>
    <t>Nº PUESTOS</t>
  </si>
  <si>
    <t>SUELDO</t>
  </si>
  <si>
    <t>SUB.TRANSP</t>
  </si>
  <si>
    <t>Cesantías</t>
  </si>
  <si>
    <t>Intereses a las Cesantías</t>
  </si>
  <si>
    <t>Prima de servicios</t>
  </si>
  <si>
    <t>Vacaciones</t>
  </si>
  <si>
    <t>Salud</t>
  </si>
  <si>
    <t>Pensión</t>
  </si>
  <si>
    <t>ARL</t>
  </si>
  <si>
    <t>ICBF</t>
  </si>
  <si>
    <t>SENA</t>
  </si>
  <si>
    <t>Caja de compensación</t>
  </si>
  <si>
    <t>PORCENTAJE</t>
  </si>
  <si>
    <t>Dotación</t>
  </si>
  <si>
    <t>SALARIO REAL</t>
  </si>
  <si>
    <t>SUBSIDIO TRANSPORTE</t>
  </si>
  <si>
    <t>ÁREA</t>
  </si>
  <si>
    <t>TIPO DE CONTRATO</t>
  </si>
  <si>
    <t>Operativa</t>
  </si>
  <si>
    <t>Infraestructura</t>
  </si>
  <si>
    <t>ESPECIFICACIONES</t>
  </si>
  <si>
    <t>ESPECIFICACIONES GENERALES</t>
  </si>
  <si>
    <t>Muebles y enseres</t>
  </si>
  <si>
    <t>Materiales, repuestos y accesorios</t>
  </si>
  <si>
    <t>Equipo de computación y comunicación</t>
  </si>
  <si>
    <t xml:space="preserve">Insumos y/o materias primas </t>
  </si>
  <si>
    <t>CANTIDAD POR UNIDAD</t>
  </si>
  <si>
    <t>UNIDAD DE MEDIDA</t>
  </si>
  <si>
    <t>MATERIAL</t>
  </si>
  <si>
    <t>CANTIDAD AÑO 1</t>
  </si>
  <si>
    <t>CONCEPTO</t>
  </si>
  <si>
    <t>VALOR TOTAL</t>
  </si>
  <si>
    <t>DEPRECIACIÓN ANUAL</t>
  </si>
  <si>
    <t>VALOR DE SALVAMENTO</t>
  </si>
  <si>
    <t>VALOR</t>
  </si>
  <si>
    <t>Estudio impacto ambiental</t>
  </si>
  <si>
    <t>Otro software</t>
  </si>
  <si>
    <t>Diseño del SG-SST</t>
  </si>
  <si>
    <t>Menos Depreciaciones</t>
  </si>
  <si>
    <t>Menos Amortización diferidos</t>
  </si>
  <si>
    <t>TOTAL INVERSIÓN DIFERIDA</t>
  </si>
  <si>
    <t>TOTAL INVERSIÓN FIJA</t>
  </si>
  <si>
    <t>TOTAL CAPITAL DE TRABAJO</t>
  </si>
  <si>
    <t>INVERSIÓN TOTAL</t>
  </si>
  <si>
    <t>Diseño de identidad corporativa</t>
  </si>
  <si>
    <t>Patentes</t>
  </si>
  <si>
    <t>Registro de marca</t>
  </si>
  <si>
    <t>Tasa Efectiva Anual</t>
  </si>
  <si>
    <t>PERIODO</t>
  </si>
  <si>
    <t>CAPITAL</t>
  </si>
  <si>
    <t>INTERESES</t>
  </si>
  <si>
    <t>CUOTA MENSUAL</t>
  </si>
  <si>
    <t>SALDO</t>
  </si>
  <si>
    <t>nómina operativa (MOD)</t>
  </si>
  <si>
    <t>Nº DE PUESTOS</t>
  </si>
  <si>
    <t>COSTO TOTAL MOD</t>
  </si>
  <si>
    <t>COSTO UNITARIO</t>
  </si>
  <si>
    <t>COSTO ANUAL</t>
  </si>
  <si>
    <t>prorrateo entre costos y gastos</t>
  </si>
  <si>
    <t>Acueducto</t>
  </si>
  <si>
    <t>Energía</t>
  </si>
  <si>
    <t>Gas</t>
  </si>
  <si>
    <t>Seguros</t>
  </si>
  <si>
    <t>JEFE DE PRODUCCIÓN</t>
  </si>
  <si>
    <t>COSTO TOTAL MOI</t>
  </si>
  <si>
    <t>nómina operativa (MOI)</t>
  </si>
  <si>
    <t>Jefe de producción (MOI)</t>
  </si>
  <si>
    <t>VALOR MES</t>
  </si>
  <si>
    <t>VALOR AÑO</t>
  </si>
  <si>
    <t>COSTO TOTAL MATERIALES INDIRECTOS</t>
  </si>
  <si>
    <t>COSTO TOTAL ISNUMOS O MATERIA PRIMA</t>
  </si>
  <si>
    <t>COSTOS FIJOS</t>
  </si>
  <si>
    <t>COSTOS VARIABLES</t>
  </si>
  <si>
    <t>gastos fijos de administración y ventas</t>
  </si>
  <si>
    <t>gastos variables de administración y ventas</t>
  </si>
  <si>
    <t>Depreciaciones administrativas</t>
  </si>
  <si>
    <t>Gastos de representación</t>
  </si>
  <si>
    <t>Gastos fijos</t>
  </si>
  <si>
    <t>Gastos variables</t>
  </si>
  <si>
    <t>total gastos de administración y ventas</t>
  </si>
  <si>
    <t>estructura de capital</t>
  </si>
  <si>
    <t>Capacidad utilizada año 1</t>
  </si>
  <si>
    <t>Gastos de administración y ventas totales</t>
  </si>
  <si>
    <t>Costos y gastos totales</t>
  </si>
  <si>
    <t>Margen de utilidad</t>
  </si>
  <si>
    <t>Costos y gastos totales unitarios</t>
  </si>
  <si>
    <t>Precio al consumidor</t>
  </si>
  <si>
    <t>Margen para el intermediario</t>
  </si>
  <si>
    <t>Materiales directos</t>
  </si>
  <si>
    <t>cif variables</t>
  </si>
  <si>
    <t>cif fijos</t>
  </si>
  <si>
    <t>COSTO TOTAL NÓMINA</t>
  </si>
  <si>
    <t>nómina</t>
  </si>
  <si>
    <t>gastos fijos</t>
  </si>
  <si>
    <t>gastos variables</t>
  </si>
  <si>
    <t>Menos Impuesto de Ind y Cio</t>
  </si>
  <si>
    <t>Impuesto de Ind y Cio</t>
  </si>
  <si>
    <t>Menos depreciaciones</t>
  </si>
  <si>
    <t>Menos amortizaciones</t>
  </si>
  <si>
    <t>TOTAL INGRESOS</t>
  </si>
  <si>
    <t xml:space="preserve">+INGRESOS </t>
  </si>
  <si>
    <t>- EGRESOS</t>
  </si>
  <si>
    <t>-EGRESOS</t>
  </si>
  <si>
    <t>Flujos de efectivo de actividad de operación</t>
  </si>
  <si>
    <t>Flujos efectivo actividades inversión</t>
  </si>
  <si>
    <t>Flujos de efectivo de actividad de financiación</t>
  </si>
  <si>
    <t>CUENTA</t>
  </si>
  <si>
    <t>AÑO 2</t>
  </si>
  <si>
    <t>AÑO 3</t>
  </si>
  <si>
    <t>AÑO 4</t>
  </si>
  <si>
    <t>AÑO 5</t>
  </si>
  <si>
    <t>AÑO 0</t>
  </si>
  <si>
    <t>Obligaciones financieras corto plazo</t>
  </si>
  <si>
    <t>VALOR RECUPERADO</t>
  </si>
  <si>
    <t>Prima de riesgo al riesgo</t>
  </si>
  <si>
    <t>Inflación</t>
  </si>
  <si>
    <t>Recursos crédito</t>
  </si>
  <si>
    <t>TMAR Banco</t>
  </si>
  <si>
    <t>TMAR recursos propios</t>
  </si>
  <si>
    <t>Porcentaje aportación recursos propios</t>
  </si>
  <si>
    <t>Porcentaje aportación Banco</t>
  </si>
  <si>
    <t>TMAR MIXTA</t>
  </si>
  <si>
    <t>En función de la capacidad instalada (%)</t>
  </si>
  <si>
    <t>PE = CF/(IT-CV)</t>
  </si>
  <si>
    <t>En función de cantidades producidas (Q)</t>
  </si>
  <si>
    <t>PE = CF/(Pu-CVu)</t>
  </si>
  <si>
    <t>En función de volumen de ventas ($)</t>
  </si>
  <si>
    <t>PE* = CF / 1 - CV/IT</t>
  </si>
  <si>
    <t>En función del número de días año</t>
  </si>
  <si>
    <t>PE = PE* / ( VT/N)</t>
  </si>
  <si>
    <t>CF: costos fijos</t>
  </si>
  <si>
    <t>CV: costo variable</t>
  </si>
  <si>
    <t>CT: costos totales</t>
  </si>
  <si>
    <t>IT: ingreso total</t>
  </si>
  <si>
    <t>Pu: precio unitario</t>
  </si>
  <si>
    <t>CVu: costo variable unitario</t>
  </si>
  <si>
    <t>VT: ventas totales</t>
  </si>
  <si>
    <t>N: número días año</t>
  </si>
  <si>
    <t>CTP</t>
  </si>
  <si>
    <t>GAV</t>
  </si>
  <si>
    <t>Punto de equilibrio</t>
  </si>
  <si>
    <t>Precio al intermediario antes de IVA</t>
  </si>
  <si>
    <t>RECOMENDACIONES</t>
  </si>
  <si>
    <t>Las celdas sombreadas son para introducir datos</t>
  </si>
  <si>
    <t>Si necesita aumentar la filas puede hacerlo pero ajustando las fórmulas y la vinculación de los datos</t>
  </si>
  <si>
    <t>Si desprotege la hoja, tenga cuidado de no borrar fórmulas</t>
  </si>
  <si>
    <t>CRÉDITOS</t>
  </si>
  <si>
    <t>Alejandro Villarraga Plaza</t>
  </si>
  <si>
    <t>Ramiro Augusto Redondo Mora</t>
  </si>
  <si>
    <t xml:space="preserve">Carlos Manuel Figueroa Orejarena         </t>
  </si>
  <si>
    <t xml:space="preserve">Querubín Sánchez Martínez            </t>
  </si>
  <si>
    <t>Oriol Alberto Mogollón Cañas</t>
  </si>
  <si>
    <t>AÑO DE ELABORACIÓN</t>
  </si>
  <si>
    <t>Programa</t>
  </si>
  <si>
    <t>Gestión Empresarial</t>
  </si>
  <si>
    <t>PLANTILLA PARA ESTUDIOS DE FACTIBILIDAD</t>
  </si>
  <si>
    <t>Profesional en Gestión Empresarial</t>
  </si>
  <si>
    <t>Administrador de Empresas</t>
  </si>
  <si>
    <t>Economista</t>
  </si>
  <si>
    <t>Mantenimiento de maquinaria y equipo</t>
  </si>
  <si>
    <t>Administración redes sociales</t>
  </si>
  <si>
    <t>Licencias tecnológicas</t>
  </si>
  <si>
    <t>Comisiones de ventas</t>
  </si>
  <si>
    <t>nómina de ventas</t>
  </si>
  <si>
    <t>nómina administrativa</t>
  </si>
  <si>
    <t>Administrativa</t>
  </si>
  <si>
    <t>Ingresos operacionales</t>
  </si>
  <si>
    <t>Ingresos no operacionales</t>
  </si>
  <si>
    <t>Las filas que no necesite se pueden eliminar en el documento Word.</t>
  </si>
  <si>
    <t>Revise esta plantilla antes de empezar su estudio de factibilidad</t>
  </si>
  <si>
    <t>No se recomienda eliminar filas en este archivo porque puede afectar las fórmulas.</t>
  </si>
  <si>
    <t>Comercial</t>
  </si>
  <si>
    <t>Otro</t>
  </si>
  <si>
    <t>Compra de Equipo de oficina</t>
  </si>
  <si>
    <t>Compra de Equipo de computación y comunicación</t>
  </si>
  <si>
    <t>Compra de Maquinaria y equipo</t>
  </si>
  <si>
    <t>Compra de Muebles y enseres</t>
  </si>
  <si>
    <t>Compra de Materiales, repuestos y accesorios</t>
  </si>
  <si>
    <t>Compra de Inventario de materia prima</t>
  </si>
  <si>
    <t>FLUJOS NETOS DE EFECTIVO DE ACTIVIDAD DE OPERACIÓN</t>
  </si>
  <si>
    <t>FLUJOS NETOS DE EFECTIVO ACTIVIDADES INVERSIÓN</t>
  </si>
  <si>
    <t>FLUJOS NETOS DE EFECTIVO DE ACTIVIDAD DE FINANCIACIÓN</t>
  </si>
  <si>
    <t>FLUJO DE EFECTIVO NETO (AUMENTO O DISMINUCIÓN)</t>
  </si>
  <si>
    <t>VNA</t>
  </si>
  <si>
    <t>FLUJO DE EFECTIVO NETO</t>
  </si>
  <si>
    <t>PUNTO DE EQUILIBRIO</t>
  </si>
  <si>
    <t>21% a 30%</t>
  </si>
  <si>
    <t>11% a 20%</t>
  </si>
  <si>
    <t>1% a 10%</t>
  </si>
  <si>
    <t>Riesgo bajo</t>
  </si>
  <si>
    <t>Riesgo medio</t>
  </si>
  <si>
    <t>Riesgo alto</t>
  </si>
  <si>
    <t>RUBRO</t>
  </si>
  <si>
    <t>PORCENTAJE COSTO</t>
  </si>
  <si>
    <t>PORCENTAJE GAV</t>
  </si>
  <si>
    <t>TMAR = i + f + i*f (Bacca Urbina, 2013)</t>
  </si>
  <si>
    <t>Donde:</t>
  </si>
  <si>
    <t>i = prima de riesgo al riesgo</t>
  </si>
  <si>
    <t xml:space="preserve"> f = inflación</t>
  </si>
  <si>
    <t>RAZONES FINANCIERAS</t>
  </si>
  <si>
    <t>activo corriente /  pasivo corriente</t>
  </si>
  <si>
    <t>No veces</t>
  </si>
  <si>
    <t>activo corriente - inventarios / pasivo corriente</t>
  </si>
  <si>
    <t>activo corriente -  pasivo corriente</t>
  </si>
  <si>
    <t>unidades $$</t>
  </si>
  <si>
    <t>ventas / activo fijo neto</t>
  </si>
  <si>
    <t>ventas / activo total</t>
  </si>
  <si>
    <t>%</t>
  </si>
  <si>
    <t>utilidad operacional / intereses</t>
  </si>
  <si>
    <t>Capital de trabajo neto</t>
  </si>
  <si>
    <t>Prueba acida**</t>
  </si>
  <si>
    <t>Razon corriente</t>
  </si>
  <si>
    <t>Rotacion activo corriente</t>
  </si>
  <si>
    <t>Rotacion activo fijo</t>
  </si>
  <si>
    <t>Rotacion activo total</t>
  </si>
  <si>
    <t>Endeudamiento total</t>
  </si>
  <si>
    <t>Cobertura intereses</t>
  </si>
  <si>
    <t>Índice participacion patrimonial</t>
  </si>
  <si>
    <t>Margen utilidad neta</t>
  </si>
  <si>
    <t>Rendimiento activos</t>
  </si>
  <si>
    <t xml:space="preserve">ventas/activo corriente </t>
  </si>
  <si>
    <t>pasivo total / activo total</t>
  </si>
  <si>
    <t>patrimonio / activo total</t>
  </si>
  <si>
    <t>utilidad bruta/ ventas</t>
  </si>
  <si>
    <t>utilidad neta/ventas</t>
  </si>
  <si>
    <t>utilidad neta/ activos totales</t>
  </si>
  <si>
    <t>FÓRMULA</t>
  </si>
  <si>
    <t>RESULTADO</t>
  </si>
  <si>
    <t>RAZONES DE LIQUIDEZ</t>
  </si>
  <si>
    <t>RAZONES DE OPERACIÓN</t>
  </si>
  <si>
    <t>RAZONES DE ENDEUDAMIENTO</t>
  </si>
  <si>
    <t>RAZONES RENTABILIDAD</t>
  </si>
  <si>
    <t xml:space="preserve">RELACIÓN </t>
  </si>
  <si>
    <t>UNIDAD DE ANÁLISIS</t>
  </si>
  <si>
    <t>Asesoría SG-SST</t>
  </si>
  <si>
    <t>FACTOR</t>
  </si>
  <si>
    <t>PESO</t>
  </si>
  <si>
    <t>UBICACIÓN 1</t>
  </si>
  <si>
    <t>UBICACIÓN 2</t>
  </si>
  <si>
    <t>UBICACIÓN 3</t>
  </si>
  <si>
    <t>Necesidad de remodelación</t>
  </si>
  <si>
    <t>Área disponible</t>
  </si>
  <si>
    <t>Zona de parqueo</t>
  </si>
  <si>
    <t>Canon de arrendamiento</t>
  </si>
  <si>
    <t>Facilidad de acceso para clientes</t>
  </si>
  <si>
    <t>CALIFICACIÓN</t>
  </si>
  <si>
    <t>TMAR MIXTA DEFLACTADA</t>
  </si>
  <si>
    <t>Terreno</t>
  </si>
  <si>
    <t>Construcciones y edificaciones</t>
  </si>
  <si>
    <t>Depreciación Construcciones y edificaciones</t>
  </si>
  <si>
    <t>Compra de Construcciones y edificaciones</t>
  </si>
  <si>
    <t>Compra de Terreno</t>
  </si>
  <si>
    <t>MICROLOCALIZACIÓN - MÉTODO CUALITATIVO</t>
  </si>
  <si>
    <t>Si se trata de un servicio, puede omitir o no los insumos o materias primas</t>
  </si>
  <si>
    <t>Margen bruto utilidad</t>
  </si>
  <si>
    <t>Herramientas, repuestos y accesorios</t>
  </si>
  <si>
    <t>Muebles y enseres operativos o de producción</t>
  </si>
  <si>
    <t>Muebles y enseres operativos</t>
  </si>
  <si>
    <t>Mitigación impacto ambiental</t>
  </si>
  <si>
    <t>Materiales</t>
  </si>
  <si>
    <t>Inventario de mercancía</t>
  </si>
  <si>
    <t>Materiales directos, Insumos o mercancía para la venta</t>
  </si>
  <si>
    <t>Nómina de ventas</t>
  </si>
  <si>
    <t>Nombre de dominio</t>
  </si>
  <si>
    <t>Mantenimiento del sitio web o tienda virtual</t>
  </si>
  <si>
    <t>Certificado de seguridad (SSL)</t>
  </si>
  <si>
    <t>Hosting o servidor</t>
  </si>
  <si>
    <t>UN SOLO PRODUCTO O SERVICIO</t>
  </si>
  <si>
    <t>JEFE DE VENTAS</t>
  </si>
  <si>
    <t>Fondos en caja</t>
  </si>
  <si>
    <t>Fondos en bancos</t>
  </si>
  <si>
    <t>Mercancías no fabricadas por la empresa</t>
  </si>
  <si>
    <t>Impuesto de renta y complementarios</t>
  </si>
  <si>
    <t>Impuesto de Industria y Comercio</t>
  </si>
  <si>
    <t>Utilidades o excedentes acumulados</t>
  </si>
  <si>
    <t>Matrícula mercantil</t>
  </si>
  <si>
    <t>Herramientas</t>
  </si>
  <si>
    <t>Menos 4x1000</t>
  </si>
  <si>
    <t>Tasa de IVA o Impoconsumo</t>
  </si>
  <si>
    <t>4 x 1000</t>
  </si>
  <si>
    <t>Diseño del sitio web</t>
  </si>
  <si>
    <t>Diseño de tienda virtual</t>
  </si>
  <si>
    <t>No incluya diseño y mantenimiento de sitio web, ni administración de redes sociales, ni diseño de identidad corporativa</t>
  </si>
  <si>
    <t>Otros</t>
  </si>
  <si>
    <t>Aseo y cafetería</t>
  </si>
  <si>
    <t>ÚLTIMA ACTUALIZACIÓN</t>
  </si>
  <si>
    <t>Socios emprendedores</t>
  </si>
  <si>
    <t>Socios inversionistas</t>
  </si>
  <si>
    <t>ACTUALIZACIÓN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</si>
</sst>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3" formatCode="_-* #,##0.00_-;\-* #,##0.00_-;_-* &quot;-&quot;??_-;_-@_-"/>
    <numFmt numFmtId="164" formatCode="_-* #,##0.00\ _€_-;\-* #,##0.00\ _€_-;_-* &quot;-&quot;??\ _€_-;_-@_-"/>
    <numFmt numFmtId="165" formatCode="_-* #,##0\ _€_-;\-* #,##0\ _€_-;_-* &quot;-&quot;??\ _€_-;_-@_-"/>
    <numFmt numFmtId="166" formatCode="_-* #,##0_-;\-* #,##0_-;_-* &quot;-&quot;??_-;_-@_-"/>
    <numFmt numFmtId="167" formatCode="_-* #,##0.0\ _€_-;\-* #,##0.0\ _€_-;_-* &quot;-&quot;??\ _€_-;_-@_-"/>
    <numFmt numFmtId="168" formatCode="[$$-240A]\ #,##0;\-[$$-240A]\ #,##0"/>
    <numFmt numFmtId="169" formatCode="0.000%"/>
    <numFmt numFmtId="170" formatCode="_-* #,##0.0000\ _€_-;\-* #,##0.0000\ _€_-;_-* &quot;-&quot;??\ _€_-;_-@_-"/>
  </numFmts>
  <fonts count="16" x14ac:knownFonts="1"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rgb="FFFF0000"/>
      <name val="Arial"/>
      <family val="2"/>
    </font>
    <font>
      <b/>
      <sz val="10"/>
      <color theme="1"/>
      <name val="Arial"/>
      <family val="2"/>
    </font>
    <font>
      <sz val="10"/>
      <color rgb="FF000000"/>
      <name val="Arial"/>
      <family val="2"/>
    </font>
    <font>
      <b/>
      <sz val="10"/>
      <color rgb="FFFF0000"/>
      <name val="Arial"/>
      <family val="2"/>
    </font>
    <font>
      <sz val="8"/>
      <name val="Arial"/>
      <family val="2"/>
    </font>
    <font>
      <sz val="10"/>
      <color theme="0"/>
      <name val="Arial"/>
      <family val="2"/>
    </font>
    <font>
      <sz val="10"/>
      <color theme="1"/>
      <name val="Humanst521 BT"/>
      <family val="2"/>
    </font>
    <font>
      <b/>
      <sz val="10"/>
      <color theme="1"/>
      <name val="Humanst521 BT"/>
      <family val="2"/>
    </font>
    <font>
      <b/>
      <sz val="8"/>
      <color rgb="FFB533C3"/>
      <name val="Humanst521 BT"/>
      <family val="2"/>
    </font>
    <font>
      <b/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i/>
      <sz val="9"/>
      <color rgb="FF00B0F0"/>
      <name val="Segoe UI"/>
      <family val="2"/>
    </font>
    <font>
      <i/>
      <sz val="10"/>
      <color rgb="FF0070C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38">
    <xf numFmtId="0" fontId="0" fillId="0" borderId="0" xfId="0"/>
    <xf numFmtId="165" fontId="0" fillId="0" borderId="1" xfId="1" applyNumberFormat="1" applyFont="1" applyBorder="1"/>
    <xf numFmtId="165" fontId="1" fillId="0" borderId="1" xfId="1" applyNumberFormat="1" applyFont="1" applyBorder="1"/>
    <xf numFmtId="0" fontId="2" fillId="0" borderId="0" xfId="0" applyFont="1"/>
    <xf numFmtId="165" fontId="0" fillId="0" borderId="0" xfId="1" applyNumberFormat="1" applyFont="1" applyFill="1"/>
    <xf numFmtId="165" fontId="0" fillId="0" borderId="1" xfId="1" applyNumberFormat="1" applyFont="1" applyFill="1" applyBorder="1"/>
    <xf numFmtId="165" fontId="0" fillId="0" borderId="1" xfId="1" applyNumberFormat="1" applyFont="1" applyFill="1" applyBorder="1" applyAlignment="1">
      <alignment horizontal="center" vertical="center"/>
    </xf>
    <xf numFmtId="0" fontId="0" fillId="0" borderId="1" xfId="0" applyBorder="1"/>
    <xf numFmtId="165" fontId="0" fillId="0" borderId="0" xfId="1" applyNumberFormat="1" applyFont="1" applyFill="1" applyBorder="1"/>
    <xf numFmtId="165" fontId="0" fillId="0" borderId="0" xfId="1" applyNumberFormat="1" applyFont="1" applyFill="1" applyAlignment="1">
      <alignment horizontal="left"/>
    </xf>
    <xf numFmtId="3" fontId="2" fillId="0" borderId="0" xfId="0" applyNumberFormat="1" applyFont="1"/>
    <xf numFmtId="10" fontId="0" fillId="0" borderId="1" xfId="2" applyNumberFormat="1" applyFont="1" applyFill="1" applyBorder="1"/>
    <xf numFmtId="165" fontId="0" fillId="0" borderId="1" xfId="1" applyNumberFormat="1" applyFont="1" applyFill="1" applyBorder="1" applyAlignment="1">
      <alignment horizontal="left"/>
    </xf>
    <xf numFmtId="165" fontId="1" fillId="0" borderId="1" xfId="1" applyNumberFormat="1" applyFont="1" applyFill="1" applyBorder="1"/>
    <xf numFmtId="165" fontId="1" fillId="0" borderId="0" xfId="1" applyNumberFormat="1" applyFont="1" applyFill="1"/>
    <xf numFmtId="165" fontId="2" fillId="0" borderId="0" xfId="1" applyNumberFormat="1" applyFont="1" applyFill="1"/>
    <xf numFmtId="165" fontId="1" fillId="0" borderId="0" xfId="1" applyNumberFormat="1" applyFont="1" applyFill="1" applyAlignment="1">
      <alignment horizontal="right"/>
    </xf>
    <xf numFmtId="165" fontId="0" fillId="0" borderId="1" xfId="1" applyNumberFormat="1" applyFont="1" applyFill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3" fontId="0" fillId="0" borderId="0" xfId="0" applyNumberFormat="1"/>
    <xf numFmtId="0" fontId="2" fillId="0" borderId="0" xfId="0" applyFont="1" applyAlignment="1">
      <alignment horizontal="center"/>
    </xf>
    <xf numFmtId="3" fontId="5" fillId="0" borderId="0" xfId="0" applyNumberFormat="1" applyFont="1"/>
    <xf numFmtId="10" fontId="1" fillId="0" borderId="0" xfId="2" applyNumberFormat="1" applyFont="1" applyFill="1"/>
    <xf numFmtId="165" fontId="1" fillId="0" borderId="0" xfId="1" applyNumberFormat="1" applyFont="1"/>
    <xf numFmtId="165" fontId="0" fillId="0" borderId="0" xfId="1" applyNumberFormat="1" applyFont="1" applyBorder="1"/>
    <xf numFmtId="9" fontId="0" fillId="0" borderId="0" xfId="2" applyFont="1" applyBorder="1"/>
    <xf numFmtId="165" fontId="2" fillId="0" borderId="0" xfId="1" applyNumberFormat="1" applyFont="1" applyBorder="1"/>
    <xf numFmtId="9" fontId="0" fillId="0" borderId="0" xfId="0" applyNumberFormat="1"/>
    <xf numFmtId="165" fontId="0" fillId="0" borderId="0" xfId="1" applyNumberFormat="1" applyFont="1" applyBorder="1" applyAlignment="1">
      <alignment horizontal="center"/>
    </xf>
    <xf numFmtId="0" fontId="0" fillId="0" borderId="0" xfId="0" applyAlignment="1">
      <alignment horizontal="center"/>
    </xf>
    <xf numFmtId="9" fontId="0" fillId="0" borderId="0" xfId="2" applyFont="1" applyBorder="1" applyAlignment="1">
      <alignment horizontal="center"/>
    </xf>
    <xf numFmtId="0" fontId="0" fillId="0" borderId="0" xfId="0" applyAlignment="1">
      <alignment horizontal="right"/>
    </xf>
    <xf numFmtId="9" fontId="0" fillId="0" borderId="0" xfId="0" applyNumberFormat="1" applyAlignment="1">
      <alignment horizont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9" fontId="4" fillId="0" borderId="0" xfId="0" applyNumberFormat="1" applyFont="1" applyAlignment="1">
      <alignment horizontal="center" vertical="center"/>
    </xf>
    <xf numFmtId="165" fontId="0" fillId="0" borderId="0" xfId="1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166" fontId="2" fillId="0" borderId="4" xfId="1" applyNumberFormat="1" applyFont="1" applyFill="1" applyBorder="1" applyAlignment="1">
      <alignment vertical="center"/>
    </xf>
    <xf numFmtId="0" fontId="0" fillId="0" borderId="1" xfId="0" applyBorder="1" applyAlignment="1">
      <alignment horizontal="center"/>
    </xf>
    <xf numFmtId="9" fontId="0" fillId="0" borderId="1" xfId="2" applyFont="1" applyBorder="1"/>
    <xf numFmtId="9" fontId="0" fillId="0" borderId="1" xfId="2" applyFont="1" applyBorder="1" applyAlignment="1">
      <alignment horizontal="center"/>
    </xf>
    <xf numFmtId="9" fontId="1" fillId="0" borderId="1" xfId="2" applyFont="1" applyFill="1" applyBorder="1"/>
    <xf numFmtId="0" fontId="0" fillId="0" borderId="1" xfId="0" applyBorder="1" applyAlignment="1">
      <alignment horizontal="right"/>
    </xf>
    <xf numFmtId="165" fontId="1" fillId="0" borderId="1" xfId="1" applyNumberFormat="1" applyFont="1" applyFill="1" applyBorder="1" applyAlignment="1">
      <alignment horizontal="center"/>
    </xf>
    <xf numFmtId="165" fontId="0" fillId="0" borderId="0" xfId="1" applyNumberFormat="1" applyFont="1"/>
    <xf numFmtId="165" fontId="0" fillId="0" borderId="1" xfId="1" applyNumberFormat="1" applyFont="1" applyBorder="1" applyAlignment="1">
      <alignment horizontal="center"/>
    </xf>
    <xf numFmtId="168" fontId="0" fillId="0" borderId="1" xfId="1" applyNumberFormat="1" applyFont="1" applyBorder="1"/>
    <xf numFmtId="10" fontId="0" fillId="0" borderId="1" xfId="2" applyNumberFormat="1" applyFont="1" applyBorder="1" applyAlignment="1">
      <alignment horizontal="center" vertical="center"/>
    </xf>
    <xf numFmtId="165" fontId="0" fillId="0" borderId="0" xfId="1" applyNumberFormat="1" applyFont="1" applyBorder="1" applyAlignment="1">
      <alignment wrapText="1"/>
    </xf>
    <xf numFmtId="10" fontId="0" fillId="0" borderId="0" xfId="2" applyNumberFormat="1" applyFont="1" applyBorder="1" applyAlignment="1">
      <alignment horizontal="center" vertical="center"/>
    </xf>
    <xf numFmtId="165" fontId="0" fillId="0" borderId="0" xfId="1" applyNumberFormat="1" applyFont="1" applyBorder="1" applyAlignment="1">
      <alignment horizontal="center" vertical="center" wrapText="1"/>
    </xf>
    <xf numFmtId="165" fontId="0" fillId="0" borderId="1" xfId="1" applyNumberFormat="1" applyFont="1" applyBorder="1" applyAlignment="1">
      <alignment horizontal="left"/>
    </xf>
    <xf numFmtId="165" fontId="0" fillId="0" borderId="1" xfId="1" applyNumberFormat="1" applyFont="1" applyBorder="1" applyAlignment="1">
      <alignment horizontal="left" wrapText="1"/>
    </xf>
    <xf numFmtId="165" fontId="0" fillId="0" borderId="1" xfId="1" applyNumberFormat="1" applyFont="1" applyBorder="1" applyAlignment="1">
      <alignment horizontal="center" vertical="center"/>
    </xf>
    <xf numFmtId="9" fontId="0" fillId="0" borderId="1" xfId="2" applyFont="1" applyBorder="1" applyAlignment="1">
      <alignment horizontal="center" vertical="center"/>
    </xf>
    <xf numFmtId="165" fontId="0" fillId="0" borderId="1" xfId="1" applyNumberFormat="1" applyFont="1" applyBorder="1" applyAlignment="1">
      <alignment horizontal="center" vertical="center" wrapText="1"/>
    </xf>
    <xf numFmtId="9" fontId="0" fillId="0" borderId="1" xfId="2" applyFont="1" applyBorder="1" applyAlignment="1">
      <alignment horizontal="center" vertical="center" wrapText="1"/>
    </xf>
    <xf numFmtId="165" fontId="0" fillId="0" borderId="0" xfId="1" applyNumberFormat="1" applyFont="1" applyFill="1" applyBorder="1" applyAlignment="1">
      <alignment horizontal="center"/>
    </xf>
    <xf numFmtId="165" fontId="2" fillId="0" borderId="0" xfId="1" applyNumberFormat="1" applyFont="1"/>
    <xf numFmtId="165" fontId="1" fillId="0" borderId="0" xfId="1" applyNumberFormat="1" applyFont="1" applyFill="1" applyBorder="1" applyAlignment="1"/>
    <xf numFmtId="165" fontId="0" fillId="0" borderId="2" xfId="1" applyNumberFormat="1" applyFont="1" applyBorder="1" applyAlignment="1"/>
    <xf numFmtId="168" fontId="1" fillId="0" borderId="1" xfId="1" applyNumberFormat="1" applyFont="1" applyBorder="1"/>
    <xf numFmtId="165" fontId="1" fillId="0" borderId="1" xfId="1" applyNumberFormat="1" applyFont="1" applyFill="1" applyBorder="1" applyAlignment="1">
      <alignment horizontal="left"/>
    </xf>
    <xf numFmtId="165" fontId="3" fillId="0" borderId="1" xfId="1" applyNumberFormat="1" applyFont="1" applyFill="1" applyBorder="1"/>
    <xf numFmtId="168" fontId="3" fillId="0" borderId="1" xfId="1" applyNumberFormat="1" applyFont="1" applyBorder="1"/>
    <xf numFmtId="165" fontId="1" fillId="0" borderId="1" xfId="1" applyNumberFormat="1" applyFont="1" applyFill="1" applyBorder="1" applyAlignment="1">
      <alignment horizontal="center" vertical="center" wrapText="1"/>
    </xf>
    <xf numFmtId="165" fontId="1" fillId="0" borderId="0" xfId="1" applyNumberFormat="1" applyFont="1" applyFill="1" applyAlignment="1">
      <alignment wrapText="1"/>
    </xf>
    <xf numFmtId="168" fontId="1" fillId="0" borderId="0" xfId="1" applyNumberFormat="1" applyFont="1" applyBorder="1"/>
    <xf numFmtId="165" fontId="1" fillId="0" borderId="0" xfId="1" applyNumberFormat="1" applyFont="1" applyFill="1" applyBorder="1"/>
    <xf numFmtId="165" fontId="0" fillId="3" borderId="1" xfId="1" applyNumberFormat="1" applyFont="1" applyFill="1" applyBorder="1" applyProtection="1">
      <protection locked="0"/>
    </xf>
    <xf numFmtId="168" fontId="0" fillId="3" borderId="1" xfId="1" applyNumberFormat="1" applyFont="1" applyFill="1" applyBorder="1" applyProtection="1">
      <protection locked="0"/>
    </xf>
    <xf numFmtId="9" fontId="0" fillId="3" borderId="1" xfId="2" applyFont="1" applyFill="1" applyBorder="1" applyProtection="1">
      <protection locked="0"/>
    </xf>
    <xf numFmtId="9" fontId="0" fillId="3" borderId="1" xfId="2" applyFont="1" applyFill="1" applyBorder="1" applyAlignment="1" applyProtection="1">
      <alignment horizontal="center" vertical="center"/>
      <protection locked="0"/>
    </xf>
    <xf numFmtId="170" fontId="0" fillId="3" borderId="1" xfId="1" applyNumberFormat="1" applyFont="1" applyFill="1" applyBorder="1" applyProtection="1">
      <protection locked="0"/>
    </xf>
    <xf numFmtId="165" fontId="0" fillId="3" borderId="0" xfId="1" applyNumberFormat="1" applyFont="1" applyFill="1" applyProtection="1">
      <protection locked="0"/>
    </xf>
    <xf numFmtId="0" fontId="2" fillId="3" borderId="1" xfId="0" applyFont="1" applyFill="1" applyBorder="1" applyAlignment="1" applyProtection="1">
      <alignment horizontal="right" vertical="center"/>
      <protection locked="0"/>
    </xf>
    <xf numFmtId="10" fontId="2" fillId="3" borderId="1" xfId="0" applyNumberFormat="1" applyFont="1" applyFill="1" applyBorder="1" applyAlignment="1" applyProtection="1">
      <alignment vertical="center"/>
      <protection locked="0"/>
    </xf>
    <xf numFmtId="10" fontId="2" fillId="0" borderId="0" xfId="2" applyNumberFormat="1" applyFont="1" applyFill="1"/>
    <xf numFmtId="9" fontId="1" fillId="3" borderId="1" xfId="2" applyFont="1" applyFill="1" applyBorder="1" applyProtection="1">
      <protection locked="0"/>
    </xf>
    <xf numFmtId="0" fontId="8" fillId="0" borderId="0" xfId="0" applyFont="1"/>
    <xf numFmtId="0" fontId="9" fillId="0" borderId="0" xfId="0" applyFont="1"/>
    <xf numFmtId="165" fontId="7" fillId="0" borderId="0" xfId="1" applyNumberFormat="1" applyFont="1" applyFill="1"/>
    <xf numFmtId="169" fontId="0" fillId="3" borderId="1" xfId="2" applyNumberFormat="1" applyFont="1" applyFill="1" applyBorder="1" applyProtection="1">
      <protection locked="0"/>
    </xf>
    <xf numFmtId="165" fontId="0" fillId="4" borderId="1" xfId="1" applyNumberFormat="1" applyFont="1" applyFill="1" applyBorder="1" applyProtection="1"/>
    <xf numFmtId="0" fontId="10" fillId="0" borderId="0" xfId="0" applyFont="1"/>
    <xf numFmtId="165" fontId="0" fillId="0" borderId="1" xfId="1" applyNumberFormat="1" applyFont="1" applyFill="1" applyBorder="1" applyProtection="1"/>
    <xf numFmtId="168" fontId="0" fillId="0" borderId="0" xfId="1" applyNumberFormat="1" applyFont="1" applyBorder="1"/>
    <xf numFmtId="9" fontId="0" fillId="0" borderId="0" xfId="2" applyFont="1" applyBorder="1" applyAlignment="1">
      <alignment horizontal="center" vertical="center" wrapText="1"/>
    </xf>
    <xf numFmtId="165" fontId="7" fillId="0" borderId="0" xfId="1" applyNumberFormat="1" applyFont="1" applyFill="1" applyAlignment="1">
      <alignment horizontal="right"/>
    </xf>
    <xf numFmtId="165" fontId="3" fillId="0" borderId="0" xfId="1" applyNumberFormat="1" applyFont="1" applyFill="1"/>
    <xf numFmtId="168" fontId="3" fillId="0" borderId="0" xfId="1" applyNumberFormat="1" applyFont="1" applyBorder="1"/>
    <xf numFmtId="10" fontId="3" fillId="0" borderId="0" xfId="2" applyNumberFormat="1" applyFont="1" applyBorder="1"/>
    <xf numFmtId="165" fontId="3" fillId="0" borderId="0" xfId="1" applyNumberFormat="1" applyFont="1" applyFill="1" applyBorder="1" applyAlignment="1">
      <alignment horizontal="right"/>
    </xf>
    <xf numFmtId="10" fontId="3" fillId="0" borderId="0" xfId="2" applyNumberFormat="1" applyFont="1" applyFill="1"/>
    <xf numFmtId="0" fontId="11" fillId="0" borderId="1" xfId="0" applyFont="1" applyBorder="1" applyAlignment="1">
      <alignment wrapText="1"/>
    </xf>
    <xf numFmtId="0" fontId="1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164" fontId="1" fillId="0" borderId="1" xfId="1" applyFont="1" applyBorder="1"/>
    <xf numFmtId="165" fontId="3" fillId="0" borderId="1" xfId="1" applyNumberFormat="1" applyFont="1" applyFill="1" applyBorder="1" applyAlignment="1">
      <alignment horizontal="center"/>
    </xf>
    <xf numFmtId="10" fontId="1" fillId="0" borderId="1" xfId="2" applyNumberFormat="1" applyFont="1" applyBorder="1"/>
    <xf numFmtId="10" fontId="3" fillId="0" borderId="1" xfId="2" applyNumberFormat="1" applyFont="1" applyFill="1" applyBorder="1" applyAlignment="1"/>
    <xf numFmtId="165" fontId="3" fillId="0" borderId="1" xfId="1" applyNumberFormat="1" applyFont="1" applyFill="1" applyBorder="1" applyAlignment="1"/>
    <xf numFmtId="168" fontId="3" fillId="0" borderId="1" xfId="1" applyNumberFormat="1" applyFont="1" applyBorder="1" applyAlignment="1"/>
    <xf numFmtId="10" fontId="3" fillId="0" borderId="1" xfId="2" applyNumberFormat="1" applyFont="1" applyFill="1" applyBorder="1" applyAlignment="1">
      <alignment horizontal="center"/>
    </xf>
    <xf numFmtId="164" fontId="1" fillId="0" borderId="0" xfId="1" applyFont="1" applyFill="1"/>
    <xf numFmtId="9" fontId="0" fillId="0" borderId="1" xfId="0" applyNumberFormat="1" applyBorder="1"/>
    <xf numFmtId="3" fontId="0" fillId="0" borderId="1" xfId="0" applyNumberFormat="1" applyBorder="1"/>
    <xf numFmtId="0" fontId="0" fillId="3" borderId="1" xfId="0" applyFill="1" applyBorder="1" applyProtection="1">
      <protection locked="0"/>
    </xf>
    <xf numFmtId="164" fontId="0" fillId="3" borderId="1" xfId="1" applyFont="1" applyFill="1" applyBorder="1" applyProtection="1">
      <protection locked="0"/>
    </xf>
    <xf numFmtId="43" fontId="0" fillId="0" borderId="1" xfId="1" applyNumberFormat="1" applyFont="1" applyBorder="1"/>
    <xf numFmtId="165" fontId="0" fillId="2" borderId="0" xfId="1" applyNumberFormat="1" applyFont="1" applyFill="1" applyProtection="1">
      <protection locked="0"/>
    </xf>
    <xf numFmtId="10" fontId="0" fillId="2" borderId="0" xfId="2" applyNumberFormat="1" applyFont="1" applyFill="1" applyProtection="1">
      <protection locked="0"/>
    </xf>
    <xf numFmtId="165" fontId="1" fillId="0" borderId="1" xfId="1" applyNumberFormat="1" applyFont="1" applyFill="1" applyBorder="1" applyProtection="1"/>
    <xf numFmtId="165" fontId="0" fillId="0" borderId="1" xfId="1" applyNumberFormat="1" applyFont="1" applyFill="1" applyBorder="1" applyAlignment="1" applyProtection="1">
      <alignment horizontal="center"/>
    </xf>
    <xf numFmtId="167" fontId="2" fillId="0" borderId="0" xfId="1" applyNumberFormat="1" applyFont="1" applyFill="1"/>
    <xf numFmtId="9" fontId="1" fillId="2" borderId="0" xfId="2" applyFont="1" applyFill="1" applyProtection="1">
      <protection locked="0"/>
    </xf>
    <xf numFmtId="10" fontId="1" fillId="2" borderId="0" xfId="2" applyNumberFormat="1" applyFont="1" applyFill="1" applyProtection="1">
      <protection locked="0"/>
    </xf>
    <xf numFmtId="3" fontId="7" fillId="0" borderId="0" xfId="0" applyNumberFormat="1" applyFont="1"/>
    <xf numFmtId="168" fontId="7" fillId="0" borderId="0" xfId="0" applyNumberFormat="1" applyFont="1"/>
    <xf numFmtId="170" fontId="1" fillId="2" borderId="0" xfId="1" applyNumberFormat="1" applyFont="1" applyFill="1" applyProtection="1">
      <protection locked="0"/>
    </xf>
    <xf numFmtId="0" fontId="14" fillId="0" borderId="0" xfId="0" applyFont="1"/>
    <xf numFmtId="165" fontId="15" fillId="0" borderId="0" xfId="1" applyNumberFormat="1" applyFont="1"/>
    <xf numFmtId="9" fontId="15" fillId="0" borderId="0" xfId="2" applyFont="1" applyBorder="1" applyAlignment="1">
      <alignment horizontal="left"/>
    </xf>
    <xf numFmtId="165" fontId="15" fillId="0" borderId="0" xfId="1" applyNumberFormat="1" applyFont="1" applyFill="1"/>
    <xf numFmtId="0" fontId="2" fillId="0" borderId="1" xfId="0" applyFont="1" applyBorder="1" applyAlignment="1">
      <alignment horizontal="right" vertical="center"/>
    </xf>
    <xf numFmtId="165" fontId="0" fillId="0" borderId="2" xfId="1" applyNumberFormat="1" applyFont="1" applyBorder="1" applyAlignment="1">
      <alignment horizontal="center"/>
    </xf>
    <xf numFmtId="165" fontId="0" fillId="0" borderId="3" xfId="1" applyNumberFormat="1" applyFont="1" applyBorder="1" applyAlignment="1">
      <alignment horizontal="center"/>
    </xf>
    <xf numFmtId="165" fontId="0" fillId="0" borderId="4" xfId="1" applyNumberFormat="1" applyFont="1" applyBorder="1" applyAlignment="1">
      <alignment horizontal="center"/>
    </xf>
    <xf numFmtId="0" fontId="0" fillId="0" borderId="1" xfId="0" applyBorder="1" applyAlignment="1">
      <alignment horizontal="center"/>
    </xf>
    <xf numFmtId="165" fontId="0" fillId="0" borderId="1" xfId="1" applyNumberFormat="1" applyFont="1" applyBorder="1" applyAlignment="1">
      <alignment horizontal="center"/>
    </xf>
    <xf numFmtId="165" fontId="0" fillId="0" borderId="2" xfId="1" applyNumberFormat="1" applyFont="1" applyFill="1" applyBorder="1" applyAlignment="1">
      <alignment horizontal="left"/>
    </xf>
    <xf numFmtId="165" fontId="0" fillId="0" borderId="3" xfId="1" applyNumberFormat="1" applyFont="1" applyFill="1" applyBorder="1" applyAlignment="1">
      <alignment horizontal="left"/>
    </xf>
    <xf numFmtId="165" fontId="0" fillId="0" borderId="4" xfId="1" applyNumberFormat="1" applyFont="1" applyFill="1" applyBorder="1" applyAlignment="1">
      <alignment horizontal="left"/>
    </xf>
    <xf numFmtId="165" fontId="1" fillId="0" borderId="2" xfId="1" applyNumberFormat="1" applyFont="1" applyBorder="1" applyAlignment="1">
      <alignment horizontal="center"/>
    </xf>
    <xf numFmtId="165" fontId="1" fillId="0" borderId="3" xfId="1" applyNumberFormat="1" applyFont="1" applyBorder="1" applyAlignment="1">
      <alignment horizontal="center"/>
    </xf>
    <xf numFmtId="165" fontId="1" fillId="0" borderId="4" xfId="1" applyNumberFormat="1" applyFont="1" applyBorder="1" applyAlignment="1">
      <alignment horizontal="center"/>
    </xf>
  </cellXfs>
  <cellStyles count="3">
    <cellStyle name="Millares" xfId="1" builtinId="3"/>
    <cellStyle name="Normal" xfId="0" builtinId="0"/>
    <cellStyle name="Porcentaje" xfId="2" builtinId="5"/>
  </cellStyles>
  <dxfs count="0"/>
  <tableStyles count="0" defaultTableStyle="TableStyleMedium2" defaultPivotStyle="PivotStyleLight16"/>
  <colors>
    <mruColors>
      <color rgb="FFB533C3"/>
      <color rgb="FF8439B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microsoft.com/office/2017/10/relationships/person" Target="persons/perso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EVAL!$D$52</c:f>
              <c:strCache>
                <c:ptCount val="1"/>
                <c:pt idx="0">
                  <c:v> ventas 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EVAL!$E$51:$H$51</c:f>
              <c:numCache>
                <c:formatCode>_-* #,##0\ _€_-;\-* #,##0\ _€_-;_-* "-"??\ _€_-;_-@_-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cat>
          <c:val>
            <c:numRef>
              <c:f>EVAL!$E$52:$H$52</c:f>
              <c:numCache>
                <c:formatCode>_-* #,##0\ _€_-;\-* #,##0\ _€_-;_-* "-"??\ _€_-;_-@_-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EA6-4425-BB50-9278974547D9}"/>
            </c:ext>
          </c:extLst>
        </c:ser>
        <c:ser>
          <c:idx val="3"/>
          <c:order val="1"/>
          <c:tx>
            <c:strRef>
              <c:f>EVAL!$D$55</c:f>
              <c:strCache>
                <c:ptCount val="1"/>
                <c:pt idx="0">
                  <c:v> costos totales </c:v>
                </c:pt>
              </c:strCache>
            </c:strRef>
          </c:tx>
          <c:spPr>
            <a:ln w="2222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numRef>
              <c:f>EVAL!$E$51:$H$51</c:f>
              <c:numCache>
                <c:formatCode>_-* #,##0\ _€_-;\-* #,##0\ _€_-;_-* "-"??\ _€_-;_-@_-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cat>
          <c:val>
            <c:numRef>
              <c:f>EVAL!$E$55:$H$55</c:f>
              <c:numCache>
                <c:formatCode>_-* #,##0\ _€_-;\-* #,##0\ _€_-;_-* "-"??\ _€_-;_-@_-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DEA6-4425-BB50-9278974547D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455840768"/>
        <c:axId val="1455807984"/>
      </c:lineChart>
      <c:catAx>
        <c:axId val="145584076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numFmt formatCode="_-* #,##0\ _€_-;\-* #,##0\ _€_-;_-* &quot;-&quot;??\ _€_-;_-@_-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455807984"/>
        <c:crosses val="autoZero"/>
        <c:auto val="1"/>
        <c:lblAlgn val="ctr"/>
        <c:lblOffset val="100"/>
        <c:noMultiLvlLbl val="0"/>
      </c:catAx>
      <c:valAx>
        <c:axId val="14558079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numFmt formatCode="_-* #,##0\ _€_-;\-* #,##0\ _€_-;_-* &quot;-&quot;??\ _€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455840768"/>
        <c:crosses val="autoZero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32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 cap="none" spc="0" normalizeH="0" baseline="0"/>
  </cs:categoryAxis>
  <cs:chartArea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lt1"/>
      </a:solidFill>
      <a:ln w="1587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8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  <a:alpha val="54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  <a:alpha val="51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plotArea>
  <cs:plotArea3D>
    <cs:lnRef idx="0"/>
    <cs:fillRef idx="0"/>
    <cs:effectRef idx="0"/>
    <cs:fontRef idx="minor">
      <a:schemeClr val="dk1"/>
    </cs:fontRef>
    <cs:spPr>
      <a:solidFill>
        <a:schemeClr val="lt1"/>
      </a:solidFill>
    </cs:spPr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dk1">
        <a:lumMod val="50000"/>
        <a:lumOff val="50000"/>
      </a:schemeClr>
    </cs:fontRef>
    <cs:defRPr sz="1600" b="1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hyperlink" Target="#PRECIO!A1"/><Relationship Id="rId13" Type="http://schemas.openxmlformats.org/officeDocument/2006/relationships/hyperlink" Target="#EST.T&#201;CNICO!F87"/><Relationship Id="rId3" Type="http://schemas.openxmlformats.org/officeDocument/2006/relationships/hyperlink" Target="#EST.T&#201;CNICO!A1"/><Relationship Id="rId7" Type="http://schemas.openxmlformats.org/officeDocument/2006/relationships/hyperlink" Target="#GAV!A1"/><Relationship Id="rId12" Type="http://schemas.openxmlformats.org/officeDocument/2006/relationships/hyperlink" Target="#EVAL!A1"/><Relationship Id="rId2" Type="http://schemas.openxmlformats.org/officeDocument/2006/relationships/hyperlink" Target="#EST.MERCADOS!A1"/><Relationship Id="rId1" Type="http://schemas.openxmlformats.org/officeDocument/2006/relationships/image" Target="../media/image1.tmp"/><Relationship Id="rId6" Type="http://schemas.openxmlformats.org/officeDocument/2006/relationships/hyperlink" Target="#CR&#201;DITO!A1"/><Relationship Id="rId11" Type="http://schemas.openxmlformats.org/officeDocument/2006/relationships/hyperlink" Target="#'EST SIT FIN'!A1"/><Relationship Id="rId5" Type="http://schemas.openxmlformats.org/officeDocument/2006/relationships/hyperlink" Target="#CTP!A1"/><Relationship Id="rId10" Type="http://schemas.openxmlformats.org/officeDocument/2006/relationships/hyperlink" Target="#FLUJO!A1"/><Relationship Id="rId4" Type="http://schemas.openxmlformats.org/officeDocument/2006/relationships/hyperlink" Target="#INVERSI&#211;N!A1"/><Relationship Id="rId9" Type="http://schemas.openxmlformats.org/officeDocument/2006/relationships/hyperlink" Target="#ESTADO!A1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hyperlink" Target="#INICIO!A1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hyperlink" Target="#INICIO!A1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hyperlink" Target="#INICIO!A1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hyperlink" Target="#INICIO!A1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hyperlink" Target="#INICIO!A1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hyperlink" Target="#INICIO!A1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hyperlink" Target="#INICIO!A1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hyperlink" Target="#INICIO!A1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hyperlink" Target="#INICIO!A1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hyperlink" Target="#INICIO!A1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hyperlink" Target="#INICIO!A1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263036</xdr:colOff>
      <xdr:row>18</xdr:row>
      <xdr:rowOff>91376</xdr:rowOff>
    </xdr:from>
    <xdr:to>
      <xdr:col>12</xdr:col>
      <xdr:colOff>21981</xdr:colOff>
      <xdr:row>21</xdr:row>
      <xdr:rowOff>42231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3D4B812A-8431-4B91-AD2C-3CC32A4953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83036" y="2992838"/>
          <a:ext cx="1282945" cy="434431"/>
        </a:xfrm>
        <a:prstGeom prst="rect">
          <a:avLst/>
        </a:prstGeom>
      </xdr:spPr>
    </xdr:pic>
    <xdr:clientData/>
  </xdr:twoCellAnchor>
  <xdr:twoCellAnchor>
    <xdr:from>
      <xdr:col>5</xdr:col>
      <xdr:colOff>191814</xdr:colOff>
      <xdr:row>0</xdr:row>
      <xdr:rowOff>145172</xdr:rowOff>
    </xdr:from>
    <xdr:to>
      <xdr:col>6</xdr:col>
      <xdr:colOff>760920</xdr:colOff>
      <xdr:row>2</xdr:row>
      <xdr:rowOff>61997</xdr:rowOff>
    </xdr:to>
    <xdr:sp macro="" textlink="">
      <xdr:nvSpPr>
        <xdr:cNvPr id="2" name="Rectángulo 1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8B4EC219-AFB6-4E38-866A-02F59BA171ED}"/>
            </a:ext>
          </a:extLst>
        </xdr:cNvPr>
        <xdr:cNvSpPr/>
      </xdr:nvSpPr>
      <xdr:spPr>
        <a:xfrm>
          <a:off x="4119045" y="145172"/>
          <a:ext cx="1354552" cy="256794"/>
        </a:xfrm>
        <a:prstGeom prst="rect">
          <a:avLst/>
        </a:prstGeom>
        <a:solidFill>
          <a:srgbClr val="92D050"/>
        </a:solidFill>
        <a:ln>
          <a:noFill/>
        </a:ln>
        <a:effectLst>
          <a:outerShdw blurRad="107950" dist="12700" dir="5400000" algn="ctr">
            <a:srgbClr val="000000"/>
          </a:outerShdw>
        </a:effectLst>
        <a:scene3d>
          <a:camera prst="orthographicFront">
            <a:rot lat="0" lon="0" rev="0"/>
          </a:camera>
          <a:lightRig rig="soft" dir="t">
            <a:rot lat="0" lon="0" rev="0"/>
          </a:lightRig>
        </a:scene3d>
        <a:sp3d contourW="44450" prstMaterial="matte">
          <a:bevelT w="63500" h="63500" prst="artDeco"/>
          <a:contourClr>
            <a:srgbClr val="FFFFFF"/>
          </a:contourClr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100" b="1">
              <a:latin typeface="Humanst521 BT" panose="020B0602020204020204" pitchFamily="34" charset="0"/>
            </a:rPr>
            <a:t>EST. MERC</a:t>
          </a:r>
          <a:r>
            <a:rPr lang="es-ES" sz="1100" b="1" baseline="0">
              <a:latin typeface="Humanst521 BT" panose="020B0602020204020204" pitchFamily="34" charset="0"/>
            </a:rPr>
            <a:t>ADOS</a:t>
          </a:r>
          <a:endParaRPr lang="es-ES" sz="1100" b="1">
            <a:latin typeface="Humanst521 BT" panose="020B0602020204020204" pitchFamily="34" charset="0"/>
          </a:endParaRPr>
        </a:p>
      </xdr:txBody>
    </xdr:sp>
    <xdr:clientData/>
  </xdr:twoCellAnchor>
  <xdr:twoCellAnchor>
    <xdr:from>
      <xdr:col>7</xdr:col>
      <xdr:colOff>155058</xdr:colOff>
      <xdr:row>0</xdr:row>
      <xdr:rowOff>145172</xdr:rowOff>
    </xdr:from>
    <xdr:to>
      <xdr:col>8</xdr:col>
      <xdr:colOff>724164</xdr:colOff>
      <xdr:row>2</xdr:row>
      <xdr:rowOff>61997</xdr:rowOff>
    </xdr:to>
    <xdr:sp macro="" textlink="">
      <xdr:nvSpPr>
        <xdr:cNvPr id="5" name="Rectángulo 4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AC77A36F-31FC-43AE-AB2D-F0829E61320D}"/>
            </a:ext>
          </a:extLst>
        </xdr:cNvPr>
        <xdr:cNvSpPr/>
      </xdr:nvSpPr>
      <xdr:spPr>
        <a:xfrm>
          <a:off x="5653181" y="145172"/>
          <a:ext cx="1354552" cy="256794"/>
        </a:xfrm>
        <a:prstGeom prst="rect">
          <a:avLst/>
        </a:prstGeom>
        <a:solidFill>
          <a:srgbClr val="92D050"/>
        </a:solidFill>
        <a:ln>
          <a:noFill/>
        </a:ln>
        <a:effectLst>
          <a:outerShdw blurRad="107950" dist="12700" dir="5400000" algn="ctr">
            <a:srgbClr val="000000"/>
          </a:outerShdw>
        </a:effectLst>
        <a:scene3d>
          <a:camera prst="orthographicFront">
            <a:rot lat="0" lon="0" rev="0"/>
          </a:camera>
          <a:lightRig rig="soft" dir="t">
            <a:rot lat="0" lon="0" rev="0"/>
          </a:lightRig>
        </a:scene3d>
        <a:sp3d contourW="44450" prstMaterial="matte">
          <a:bevelT w="63500" h="63500" prst="artDeco"/>
          <a:contourClr>
            <a:srgbClr val="FFFFFF"/>
          </a:contourClr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100" b="1">
              <a:latin typeface="Humanst521 BT" panose="020B0602020204020204" pitchFamily="34" charset="0"/>
            </a:rPr>
            <a:t>EST.</a:t>
          </a:r>
          <a:r>
            <a:rPr lang="es-ES" sz="1100" b="1" baseline="0">
              <a:latin typeface="Humanst521 BT" panose="020B0602020204020204" pitchFamily="34" charset="0"/>
            </a:rPr>
            <a:t> TÉCNICO</a:t>
          </a:r>
          <a:endParaRPr lang="es-ES" sz="1100" b="1">
            <a:latin typeface="Humanst521 BT" panose="020B0602020204020204" pitchFamily="34" charset="0"/>
          </a:endParaRPr>
        </a:p>
      </xdr:txBody>
    </xdr:sp>
    <xdr:clientData/>
  </xdr:twoCellAnchor>
  <xdr:twoCellAnchor>
    <xdr:from>
      <xdr:col>9</xdr:col>
      <xdr:colOff>118301</xdr:colOff>
      <xdr:row>0</xdr:row>
      <xdr:rowOff>145172</xdr:rowOff>
    </xdr:from>
    <xdr:to>
      <xdr:col>12</xdr:col>
      <xdr:colOff>148005</xdr:colOff>
      <xdr:row>2</xdr:row>
      <xdr:rowOff>61997</xdr:rowOff>
    </xdr:to>
    <xdr:sp macro="" textlink="">
      <xdr:nvSpPr>
        <xdr:cNvPr id="6" name="Rectángulo 5">
          <a:extLst>
            <a:ext uri="{FF2B5EF4-FFF2-40B4-BE49-F238E27FC236}">
              <a16:creationId xmlns:a16="http://schemas.microsoft.com/office/drawing/2014/main" id="{DEF1FB8E-75AC-463F-86A2-514E2EA44C11}"/>
            </a:ext>
          </a:extLst>
        </xdr:cNvPr>
        <xdr:cNvSpPr/>
      </xdr:nvSpPr>
      <xdr:spPr>
        <a:xfrm>
          <a:off x="7187316" y="145172"/>
          <a:ext cx="2386043" cy="256794"/>
        </a:xfrm>
        <a:prstGeom prst="rect">
          <a:avLst/>
        </a:prstGeom>
        <a:solidFill>
          <a:srgbClr val="92D050"/>
        </a:solidFill>
        <a:ln>
          <a:noFill/>
        </a:ln>
        <a:effectLst>
          <a:outerShdw blurRad="107950" dist="12700" dir="5400000" algn="ctr">
            <a:srgbClr val="000000"/>
          </a:outerShdw>
        </a:effectLst>
        <a:scene3d>
          <a:camera prst="orthographicFront">
            <a:rot lat="0" lon="0" rev="0"/>
          </a:camera>
          <a:lightRig rig="soft" dir="t">
            <a:rot lat="0" lon="0" rev="0"/>
          </a:lightRig>
        </a:scene3d>
        <a:sp3d contourW="44450" prstMaterial="matte">
          <a:bevelT w="63500" h="63500" prst="artDeco"/>
          <a:contourClr>
            <a:srgbClr val="FFFFFF"/>
          </a:contourClr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100" b="1">
              <a:latin typeface="Humanst521 BT" panose="020B0602020204020204" pitchFamily="34" charset="0"/>
            </a:rPr>
            <a:t>ESTUDIO</a:t>
          </a:r>
          <a:r>
            <a:rPr lang="es-ES" sz="1100" b="1" baseline="0">
              <a:latin typeface="Humanst521 BT" panose="020B0602020204020204" pitchFamily="34" charset="0"/>
            </a:rPr>
            <a:t> FINANCIERO</a:t>
          </a:r>
          <a:endParaRPr lang="es-ES" sz="1100" b="1">
            <a:latin typeface="Humanst521 BT" panose="020B0602020204020204" pitchFamily="34" charset="0"/>
          </a:endParaRPr>
        </a:p>
      </xdr:txBody>
    </xdr:sp>
    <xdr:clientData/>
  </xdr:twoCellAnchor>
  <xdr:twoCellAnchor>
    <xdr:from>
      <xdr:col>9</xdr:col>
      <xdr:colOff>124187</xdr:colOff>
      <xdr:row>3</xdr:row>
      <xdr:rowOff>68937</xdr:rowOff>
    </xdr:from>
    <xdr:to>
      <xdr:col>12</xdr:col>
      <xdr:colOff>142120</xdr:colOff>
      <xdr:row>4</xdr:row>
      <xdr:rowOff>160448</xdr:rowOff>
    </xdr:to>
    <xdr:sp macro="" textlink="">
      <xdr:nvSpPr>
        <xdr:cNvPr id="8" name="Rectángulo 7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F7D38102-EA58-48B3-8F5F-AC8ECCDACB01}"/>
            </a:ext>
          </a:extLst>
        </xdr:cNvPr>
        <xdr:cNvSpPr/>
      </xdr:nvSpPr>
      <xdr:spPr>
        <a:xfrm>
          <a:off x="7193202" y="578891"/>
          <a:ext cx="2374272" cy="261495"/>
        </a:xfrm>
        <a:prstGeom prst="rect">
          <a:avLst/>
        </a:prstGeom>
        <a:solidFill>
          <a:schemeClr val="accent6">
            <a:lumMod val="60000"/>
            <a:lumOff val="40000"/>
          </a:schemeClr>
        </a:solidFill>
        <a:ln>
          <a:noFill/>
        </a:ln>
        <a:effectLst>
          <a:outerShdw blurRad="107950" dist="12700" dir="5400000" algn="ctr">
            <a:srgbClr val="000000"/>
          </a:outerShdw>
        </a:effectLst>
        <a:scene3d>
          <a:camera prst="orthographicFront">
            <a:rot lat="0" lon="0" rev="0"/>
          </a:camera>
          <a:lightRig rig="soft" dir="t">
            <a:rot lat="0" lon="0" rev="0"/>
          </a:lightRig>
        </a:scene3d>
        <a:sp3d contourW="44450" prstMaterial="matte">
          <a:bevelT w="63500" h="63500" prst="artDeco"/>
          <a:contourClr>
            <a:srgbClr val="FFFFFF"/>
          </a:contourClr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100" b="1">
              <a:latin typeface="Humanst521 BT" panose="020B0602020204020204" pitchFamily="34" charset="0"/>
            </a:rPr>
            <a:t>INVERSIONES</a:t>
          </a:r>
        </a:p>
      </xdr:txBody>
    </xdr:sp>
    <xdr:clientData/>
  </xdr:twoCellAnchor>
  <xdr:twoCellAnchor>
    <xdr:from>
      <xdr:col>9</xdr:col>
      <xdr:colOff>132671</xdr:colOff>
      <xdr:row>5</xdr:row>
      <xdr:rowOff>110986</xdr:rowOff>
    </xdr:from>
    <xdr:to>
      <xdr:col>10</xdr:col>
      <xdr:colOff>462021</xdr:colOff>
      <xdr:row>7</xdr:row>
      <xdr:rowOff>26304</xdr:rowOff>
    </xdr:to>
    <xdr:sp macro="" textlink="">
      <xdr:nvSpPr>
        <xdr:cNvPr id="9" name="Rectángulo 8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EA9A6FFD-8523-4B33-92B0-82CD4E2E2675}"/>
            </a:ext>
          </a:extLst>
        </xdr:cNvPr>
        <xdr:cNvSpPr/>
      </xdr:nvSpPr>
      <xdr:spPr>
        <a:xfrm>
          <a:off x="7201686" y="960909"/>
          <a:ext cx="1114797" cy="255287"/>
        </a:xfrm>
        <a:prstGeom prst="rect">
          <a:avLst/>
        </a:prstGeom>
        <a:solidFill>
          <a:schemeClr val="accent6">
            <a:lumMod val="60000"/>
            <a:lumOff val="40000"/>
          </a:schemeClr>
        </a:solidFill>
        <a:ln>
          <a:noFill/>
        </a:ln>
        <a:effectLst>
          <a:outerShdw blurRad="107950" dist="12700" dir="5400000" algn="ctr">
            <a:srgbClr val="000000"/>
          </a:outerShdw>
        </a:effectLst>
        <a:scene3d>
          <a:camera prst="orthographicFront">
            <a:rot lat="0" lon="0" rev="0"/>
          </a:camera>
          <a:lightRig rig="soft" dir="t">
            <a:rot lat="0" lon="0" rev="0"/>
          </a:lightRig>
        </a:scene3d>
        <a:sp3d contourW="44450" prstMaterial="matte">
          <a:bevelT w="63500" h="63500" prst="artDeco"/>
          <a:contourClr>
            <a:srgbClr val="FFFFFF"/>
          </a:contourClr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50" b="1">
              <a:latin typeface="Humanst521 BT" panose="020B0602020204020204" pitchFamily="34" charset="0"/>
            </a:rPr>
            <a:t>COSTOS</a:t>
          </a:r>
        </a:p>
      </xdr:txBody>
    </xdr:sp>
    <xdr:clientData/>
  </xdr:twoCellAnchor>
  <xdr:twoCellAnchor>
    <xdr:from>
      <xdr:col>9</xdr:col>
      <xdr:colOff>146584</xdr:colOff>
      <xdr:row>7</xdr:row>
      <xdr:rowOff>138196</xdr:rowOff>
    </xdr:from>
    <xdr:to>
      <xdr:col>10</xdr:col>
      <xdr:colOff>475934</xdr:colOff>
      <xdr:row>9</xdr:row>
      <xdr:rowOff>58215</xdr:rowOff>
    </xdr:to>
    <xdr:sp macro="" textlink="">
      <xdr:nvSpPr>
        <xdr:cNvPr id="10" name="Rectángulo 9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176B2716-2F95-46C9-A14E-EA7909ADEA61}"/>
            </a:ext>
          </a:extLst>
        </xdr:cNvPr>
        <xdr:cNvSpPr/>
      </xdr:nvSpPr>
      <xdr:spPr>
        <a:xfrm>
          <a:off x="7215599" y="1328088"/>
          <a:ext cx="1114797" cy="259989"/>
        </a:xfrm>
        <a:prstGeom prst="rect">
          <a:avLst/>
        </a:prstGeom>
        <a:solidFill>
          <a:schemeClr val="accent6">
            <a:lumMod val="60000"/>
            <a:lumOff val="40000"/>
          </a:schemeClr>
        </a:solidFill>
        <a:ln>
          <a:noFill/>
        </a:ln>
        <a:effectLst>
          <a:outerShdw blurRad="107950" dist="12700" dir="5400000" algn="ctr">
            <a:srgbClr val="000000"/>
          </a:outerShdw>
        </a:effectLst>
        <a:scene3d>
          <a:camera prst="orthographicFront">
            <a:rot lat="0" lon="0" rev="0"/>
          </a:camera>
          <a:lightRig rig="soft" dir="t">
            <a:rot lat="0" lon="0" rev="0"/>
          </a:lightRig>
        </a:scene3d>
        <a:sp3d contourW="44450" prstMaterial="matte">
          <a:bevelT w="63500" h="63500" prst="artDeco"/>
          <a:contourClr>
            <a:srgbClr val="FFFFFF"/>
          </a:contourClr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50" b="1">
              <a:latin typeface="Humanst521 BT" panose="020B0602020204020204" pitchFamily="34" charset="0"/>
            </a:rPr>
            <a:t>CRÉDITO</a:t>
          </a:r>
        </a:p>
      </xdr:txBody>
    </xdr:sp>
    <xdr:clientData/>
  </xdr:twoCellAnchor>
  <xdr:twoCellAnchor>
    <xdr:from>
      <xdr:col>10</xdr:col>
      <xdr:colOff>576956</xdr:colOff>
      <xdr:row>5</xdr:row>
      <xdr:rowOff>110986</xdr:rowOff>
    </xdr:from>
    <xdr:to>
      <xdr:col>12</xdr:col>
      <xdr:colOff>120861</xdr:colOff>
      <xdr:row>7</xdr:row>
      <xdr:rowOff>26304</xdr:rowOff>
    </xdr:to>
    <xdr:sp macro="" textlink="">
      <xdr:nvSpPr>
        <xdr:cNvPr id="11" name="Rectángulo 10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F1CA22B8-BF7B-42C7-8C40-00CB2DE32591}"/>
            </a:ext>
          </a:extLst>
        </xdr:cNvPr>
        <xdr:cNvSpPr/>
      </xdr:nvSpPr>
      <xdr:spPr>
        <a:xfrm>
          <a:off x="8431418" y="960909"/>
          <a:ext cx="1114797" cy="255287"/>
        </a:xfrm>
        <a:prstGeom prst="rect">
          <a:avLst/>
        </a:prstGeom>
        <a:solidFill>
          <a:schemeClr val="accent6">
            <a:lumMod val="60000"/>
            <a:lumOff val="40000"/>
          </a:schemeClr>
        </a:solidFill>
        <a:ln>
          <a:noFill/>
        </a:ln>
        <a:effectLst>
          <a:outerShdw blurRad="107950" dist="12700" dir="5400000" algn="ctr">
            <a:srgbClr val="000000"/>
          </a:outerShdw>
        </a:effectLst>
        <a:scene3d>
          <a:camera prst="orthographicFront">
            <a:rot lat="0" lon="0" rev="0"/>
          </a:camera>
          <a:lightRig rig="soft" dir="t">
            <a:rot lat="0" lon="0" rev="0"/>
          </a:lightRig>
        </a:scene3d>
        <a:sp3d contourW="44450" prstMaterial="matte">
          <a:bevelT w="63500" h="63500" prst="artDeco"/>
          <a:contourClr>
            <a:srgbClr val="FFFFFF"/>
          </a:contourClr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50" b="1">
              <a:latin typeface="Humanst521 BT" panose="020B0602020204020204" pitchFamily="34" charset="0"/>
            </a:rPr>
            <a:t>GASTOS</a:t>
          </a:r>
        </a:p>
      </xdr:txBody>
    </xdr:sp>
    <xdr:clientData/>
  </xdr:twoCellAnchor>
  <xdr:twoCellAnchor>
    <xdr:from>
      <xdr:col>10</xdr:col>
      <xdr:colOff>595979</xdr:colOff>
      <xdr:row>7</xdr:row>
      <xdr:rowOff>140546</xdr:rowOff>
    </xdr:from>
    <xdr:to>
      <xdr:col>12</xdr:col>
      <xdr:colOff>139884</xdr:colOff>
      <xdr:row>9</xdr:row>
      <xdr:rowOff>55864</xdr:rowOff>
    </xdr:to>
    <xdr:sp macro="" textlink="">
      <xdr:nvSpPr>
        <xdr:cNvPr id="12" name="Rectángulo 11">
          <a:hlinkClick xmlns:r="http://schemas.openxmlformats.org/officeDocument/2006/relationships" r:id="rId8"/>
          <a:extLst>
            <a:ext uri="{FF2B5EF4-FFF2-40B4-BE49-F238E27FC236}">
              <a16:creationId xmlns:a16="http://schemas.microsoft.com/office/drawing/2014/main" id="{5D8AF681-258B-41E5-80BD-0B98D3AB4980}"/>
            </a:ext>
          </a:extLst>
        </xdr:cNvPr>
        <xdr:cNvSpPr/>
      </xdr:nvSpPr>
      <xdr:spPr>
        <a:xfrm>
          <a:off x="8450441" y="1330438"/>
          <a:ext cx="1114797" cy="255288"/>
        </a:xfrm>
        <a:prstGeom prst="rect">
          <a:avLst/>
        </a:prstGeom>
        <a:solidFill>
          <a:schemeClr val="accent6">
            <a:lumMod val="60000"/>
            <a:lumOff val="40000"/>
          </a:schemeClr>
        </a:solidFill>
        <a:ln>
          <a:noFill/>
        </a:ln>
        <a:effectLst>
          <a:outerShdw blurRad="107950" dist="12700" dir="5400000" algn="ctr">
            <a:srgbClr val="000000"/>
          </a:outerShdw>
        </a:effectLst>
        <a:scene3d>
          <a:camera prst="orthographicFront">
            <a:rot lat="0" lon="0" rev="0"/>
          </a:camera>
          <a:lightRig rig="soft" dir="t">
            <a:rot lat="0" lon="0" rev="0"/>
          </a:lightRig>
        </a:scene3d>
        <a:sp3d contourW="44450" prstMaterial="matte">
          <a:bevelT w="63500" h="63500" prst="artDeco"/>
          <a:contourClr>
            <a:srgbClr val="FFFFFF"/>
          </a:contourClr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50" b="1">
              <a:latin typeface="Humanst521 BT" panose="020B0602020204020204" pitchFamily="34" charset="0"/>
            </a:rPr>
            <a:t>PRECIO</a:t>
          </a:r>
        </a:p>
      </xdr:txBody>
    </xdr:sp>
    <xdr:clientData/>
  </xdr:twoCellAnchor>
  <xdr:twoCellAnchor>
    <xdr:from>
      <xdr:col>9</xdr:col>
      <xdr:colOff>124187</xdr:colOff>
      <xdr:row>9</xdr:row>
      <xdr:rowOff>167622</xdr:rowOff>
    </xdr:from>
    <xdr:to>
      <xdr:col>12</xdr:col>
      <xdr:colOff>142120</xdr:colOff>
      <xdr:row>11</xdr:row>
      <xdr:rowOff>89148</xdr:rowOff>
    </xdr:to>
    <xdr:sp macro="" textlink="">
      <xdr:nvSpPr>
        <xdr:cNvPr id="18" name="Rectángulo 17">
          <a:hlinkClick xmlns:r="http://schemas.openxmlformats.org/officeDocument/2006/relationships" r:id="rId9"/>
          <a:extLst>
            <a:ext uri="{FF2B5EF4-FFF2-40B4-BE49-F238E27FC236}">
              <a16:creationId xmlns:a16="http://schemas.microsoft.com/office/drawing/2014/main" id="{F22726AF-0389-4AD0-8FF6-494EA8FCBEB5}"/>
            </a:ext>
          </a:extLst>
        </xdr:cNvPr>
        <xdr:cNvSpPr/>
      </xdr:nvSpPr>
      <xdr:spPr>
        <a:xfrm>
          <a:off x="7193202" y="1697484"/>
          <a:ext cx="2374272" cy="261495"/>
        </a:xfrm>
        <a:prstGeom prst="rect">
          <a:avLst/>
        </a:prstGeom>
        <a:solidFill>
          <a:schemeClr val="accent6">
            <a:lumMod val="60000"/>
            <a:lumOff val="40000"/>
          </a:schemeClr>
        </a:solidFill>
        <a:ln>
          <a:noFill/>
        </a:ln>
        <a:effectLst>
          <a:outerShdw blurRad="107950" dist="12700" dir="5400000" algn="ctr">
            <a:srgbClr val="000000"/>
          </a:outerShdw>
        </a:effectLst>
        <a:scene3d>
          <a:camera prst="orthographicFront">
            <a:rot lat="0" lon="0" rev="0"/>
          </a:camera>
          <a:lightRig rig="soft" dir="t">
            <a:rot lat="0" lon="0" rev="0"/>
          </a:lightRig>
        </a:scene3d>
        <a:sp3d contourW="44450" prstMaterial="matte">
          <a:bevelT w="63500" h="63500" prst="artDeco"/>
          <a:contourClr>
            <a:srgbClr val="FFFFFF"/>
          </a:contourClr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S" sz="1100" b="1">
              <a:solidFill>
                <a:schemeClr val="lt1"/>
              </a:solidFill>
              <a:effectLst/>
              <a:latin typeface="Humanst521 BT" panose="020B0602020204020204" pitchFamily="34" charset="0"/>
              <a:ea typeface="+mn-ea"/>
              <a:cs typeface="+mn-cs"/>
            </a:rPr>
            <a:t>ESTADO</a:t>
          </a:r>
          <a:r>
            <a:rPr lang="es-ES" sz="1100" b="1" baseline="0">
              <a:solidFill>
                <a:schemeClr val="lt1"/>
              </a:solidFill>
              <a:effectLst/>
              <a:latin typeface="Humanst521 BT" panose="020B0602020204020204" pitchFamily="34" charset="0"/>
              <a:ea typeface="+mn-ea"/>
              <a:cs typeface="+mn-cs"/>
            </a:rPr>
            <a:t> DE RESULTADOS</a:t>
          </a:r>
          <a:endParaRPr lang="es-ES" sz="800">
            <a:effectLst/>
            <a:latin typeface="Humanst521 BT" panose="020B0602020204020204" pitchFamily="34" charset="0"/>
          </a:endParaRPr>
        </a:p>
      </xdr:txBody>
    </xdr:sp>
    <xdr:clientData/>
  </xdr:twoCellAnchor>
  <xdr:twoCellAnchor>
    <xdr:from>
      <xdr:col>9</xdr:col>
      <xdr:colOff>124187</xdr:colOff>
      <xdr:row>12</xdr:row>
      <xdr:rowOff>11478</xdr:rowOff>
    </xdr:from>
    <xdr:to>
      <xdr:col>12</xdr:col>
      <xdr:colOff>142120</xdr:colOff>
      <xdr:row>13</xdr:row>
      <xdr:rowOff>102988</xdr:rowOff>
    </xdr:to>
    <xdr:sp macro="" textlink="">
      <xdr:nvSpPr>
        <xdr:cNvPr id="19" name="Rectángulo 18">
          <a:hlinkClick xmlns:r="http://schemas.openxmlformats.org/officeDocument/2006/relationships" r:id="rId10"/>
          <a:extLst>
            <a:ext uri="{FF2B5EF4-FFF2-40B4-BE49-F238E27FC236}">
              <a16:creationId xmlns:a16="http://schemas.microsoft.com/office/drawing/2014/main" id="{6128E36A-EC3C-48EB-B69B-342C25F15401}"/>
            </a:ext>
          </a:extLst>
        </xdr:cNvPr>
        <xdr:cNvSpPr/>
      </xdr:nvSpPr>
      <xdr:spPr>
        <a:xfrm>
          <a:off x="7193202" y="2051293"/>
          <a:ext cx="2374272" cy="261495"/>
        </a:xfrm>
        <a:prstGeom prst="rect">
          <a:avLst/>
        </a:prstGeom>
        <a:solidFill>
          <a:schemeClr val="accent6">
            <a:lumMod val="60000"/>
            <a:lumOff val="40000"/>
          </a:schemeClr>
        </a:solidFill>
        <a:ln>
          <a:noFill/>
        </a:ln>
        <a:effectLst>
          <a:outerShdw blurRad="107950" dist="12700" dir="5400000" algn="ctr">
            <a:srgbClr val="000000"/>
          </a:outerShdw>
        </a:effectLst>
        <a:scene3d>
          <a:camera prst="orthographicFront">
            <a:rot lat="0" lon="0" rev="0"/>
          </a:camera>
          <a:lightRig rig="soft" dir="t">
            <a:rot lat="0" lon="0" rev="0"/>
          </a:lightRig>
        </a:scene3d>
        <a:sp3d contourW="44450" prstMaterial="matte">
          <a:bevelT w="63500" h="63500" prst="artDeco"/>
          <a:contourClr>
            <a:srgbClr val="FFFFFF"/>
          </a:contourClr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S" sz="1100" b="1">
              <a:solidFill>
                <a:schemeClr val="lt1"/>
              </a:solidFill>
              <a:effectLst/>
              <a:latin typeface="Humanst521 BT" panose="020B0602020204020204" pitchFamily="34" charset="0"/>
              <a:ea typeface="+mn-ea"/>
              <a:cs typeface="+mn-cs"/>
            </a:rPr>
            <a:t>FLUJOS</a:t>
          </a:r>
          <a:r>
            <a:rPr lang="es-ES" sz="1100" b="1" baseline="0">
              <a:solidFill>
                <a:schemeClr val="lt1"/>
              </a:solidFill>
              <a:effectLst/>
              <a:latin typeface="Humanst521 BT" panose="020B0602020204020204" pitchFamily="34" charset="0"/>
              <a:ea typeface="+mn-ea"/>
              <a:cs typeface="+mn-cs"/>
            </a:rPr>
            <a:t> NETOS</a:t>
          </a:r>
          <a:endParaRPr lang="es-ES" sz="800">
            <a:effectLst/>
            <a:latin typeface="Humanst521 BT" panose="020B0602020204020204" pitchFamily="34" charset="0"/>
          </a:endParaRPr>
        </a:p>
      </xdr:txBody>
    </xdr:sp>
    <xdr:clientData/>
  </xdr:twoCellAnchor>
  <xdr:twoCellAnchor>
    <xdr:from>
      <xdr:col>9</xdr:col>
      <xdr:colOff>124187</xdr:colOff>
      <xdr:row>14</xdr:row>
      <xdr:rowOff>19137</xdr:rowOff>
    </xdr:from>
    <xdr:to>
      <xdr:col>12</xdr:col>
      <xdr:colOff>142120</xdr:colOff>
      <xdr:row>15</xdr:row>
      <xdr:rowOff>110648</xdr:rowOff>
    </xdr:to>
    <xdr:sp macro="" textlink="">
      <xdr:nvSpPr>
        <xdr:cNvPr id="20" name="Rectángulo 19">
          <a:hlinkClick xmlns:r="http://schemas.openxmlformats.org/officeDocument/2006/relationships" r:id="rId11"/>
          <a:extLst>
            <a:ext uri="{FF2B5EF4-FFF2-40B4-BE49-F238E27FC236}">
              <a16:creationId xmlns:a16="http://schemas.microsoft.com/office/drawing/2014/main" id="{13CF35CA-EC44-4E63-B502-1A1CC4890413}"/>
            </a:ext>
          </a:extLst>
        </xdr:cNvPr>
        <xdr:cNvSpPr/>
      </xdr:nvSpPr>
      <xdr:spPr>
        <a:xfrm>
          <a:off x="7193202" y="2398922"/>
          <a:ext cx="2374272" cy="261495"/>
        </a:xfrm>
        <a:prstGeom prst="rect">
          <a:avLst/>
        </a:prstGeom>
        <a:solidFill>
          <a:schemeClr val="accent6">
            <a:lumMod val="60000"/>
            <a:lumOff val="40000"/>
          </a:schemeClr>
        </a:solidFill>
        <a:ln>
          <a:noFill/>
        </a:ln>
        <a:effectLst>
          <a:outerShdw blurRad="107950" dist="12700" dir="5400000" algn="ctr">
            <a:srgbClr val="000000"/>
          </a:outerShdw>
        </a:effectLst>
        <a:scene3d>
          <a:camera prst="orthographicFront">
            <a:rot lat="0" lon="0" rev="0"/>
          </a:camera>
          <a:lightRig rig="soft" dir="t">
            <a:rot lat="0" lon="0" rev="0"/>
          </a:lightRig>
        </a:scene3d>
        <a:sp3d contourW="44450" prstMaterial="matte">
          <a:bevelT w="63500" h="63500" prst="artDeco"/>
          <a:contourClr>
            <a:srgbClr val="FFFFFF"/>
          </a:contourClr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S" sz="1100" b="1">
              <a:solidFill>
                <a:schemeClr val="lt1"/>
              </a:solidFill>
              <a:effectLst/>
              <a:latin typeface="Humanst521 BT" panose="020B0602020204020204" pitchFamily="34" charset="0"/>
              <a:ea typeface="+mn-ea"/>
              <a:cs typeface="+mn-cs"/>
            </a:rPr>
            <a:t>ESTADO</a:t>
          </a:r>
          <a:r>
            <a:rPr lang="es-ES" sz="1100" b="1" baseline="0">
              <a:solidFill>
                <a:schemeClr val="lt1"/>
              </a:solidFill>
              <a:effectLst/>
              <a:latin typeface="Humanst521 BT" panose="020B0602020204020204" pitchFamily="34" charset="0"/>
              <a:ea typeface="+mn-ea"/>
              <a:cs typeface="+mn-cs"/>
            </a:rPr>
            <a:t> DE SITUACIÓN FIN.</a:t>
          </a:r>
          <a:endParaRPr lang="es-ES" sz="800">
            <a:effectLst/>
            <a:latin typeface="Humanst521 BT" panose="020B0602020204020204" pitchFamily="34" charset="0"/>
          </a:endParaRPr>
        </a:p>
      </xdr:txBody>
    </xdr:sp>
    <xdr:clientData/>
  </xdr:twoCellAnchor>
  <xdr:twoCellAnchor>
    <xdr:from>
      <xdr:col>9</xdr:col>
      <xdr:colOff>124187</xdr:colOff>
      <xdr:row>16</xdr:row>
      <xdr:rowOff>63878</xdr:rowOff>
    </xdr:from>
    <xdr:to>
      <xdr:col>12</xdr:col>
      <xdr:colOff>142120</xdr:colOff>
      <xdr:row>17</xdr:row>
      <xdr:rowOff>155389</xdr:rowOff>
    </xdr:to>
    <xdr:sp macro="" textlink="">
      <xdr:nvSpPr>
        <xdr:cNvPr id="21" name="Rectángulo 20">
          <a:hlinkClick xmlns:r="http://schemas.openxmlformats.org/officeDocument/2006/relationships" r:id="rId12"/>
          <a:extLst>
            <a:ext uri="{FF2B5EF4-FFF2-40B4-BE49-F238E27FC236}">
              <a16:creationId xmlns:a16="http://schemas.microsoft.com/office/drawing/2014/main" id="{5ED8CEE3-1AE5-4537-865F-0EFA95A6AED2}"/>
            </a:ext>
          </a:extLst>
        </xdr:cNvPr>
        <xdr:cNvSpPr/>
      </xdr:nvSpPr>
      <xdr:spPr>
        <a:xfrm>
          <a:off x="7193202" y="2783632"/>
          <a:ext cx="2374272" cy="261495"/>
        </a:xfrm>
        <a:prstGeom prst="rect">
          <a:avLst/>
        </a:prstGeom>
        <a:solidFill>
          <a:schemeClr val="accent6">
            <a:lumMod val="60000"/>
            <a:lumOff val="40000"/>
          </a:schemeClr>
        </a:solidFill>
        <a:ln>
          <a:noFill/>
        </a:ln>
        <a:effectLst>
          <a:outerShdw blurRad="107950" dist="12700" dir="5400000" algn="ctr">
            <a:srgbClr val="000000"/>
          </a:outerShdw>
        </a:effectLst>
        <a:scene3d>
          <a:camera prst="orthographicFront">
            <a:rot lat="0" lon="0" rev="0"/>
          </a:camera>
          <a:lightRig rig="soft" dir="t">
            <a:rot lat="0" lon="0" rev="0"/>
          </a:lightRig>
        </a:scene3d>
        <a:sp3d contourW="44450" prstMaterial="matte">
          <a:bevelT w="63500" h="63500" prst="artDeco"/>
          <a:contourClr>
            <a:srgbClr val="FFFFFF"/>
          </a:contourClr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S" sz="1100" b="1">
              <a:solidFill>
                <a:schemeClr val="lt1"/>
              </a:solidFill>
              <a:effectLst/>
              <a:latin typeface="Humanst521 BT" panose="020B0602020204020204" pitchFamily="34" charset="0"/>
              <a:ea typeface="+mn-ea"/>
              <a:cs typeface="+mn-cs"/>
            </a:rPr>
            <a:t>EVALUACIÓN DEL</a:t>
          </a:r>
          <a:r>
            <a:rPr lang="es-ES" sz="1100" b="1" baseline="0">
              <a:solidFill>
                <a:schemeClr val="lt1"/>
              </a:solidFill>
              <a:effectLst/>
              <a:latin typeface="Humanst521 BT" panose="020B0602020204020204" pitchFamily="34" charset="0"/>
              <a:ea typeface="+mn-ea"/>
              <a:cs typeface="+mn-cs"/>
            </a:rPr>
            <a:t> PROYECTO</a:t>
          </a:r>
          <a:endParaRPr lang="es-ES" sz="800">
            <a:effectLst/>
            <a:latin typeface="Humanst521 BT" panose="020B0602020204020204" pitchFamily="34" charset="0"/>
          </a:endParaRPr>
        </a:p>
      </xdr:txBody>
    </xdr:sp>
    <xdr:clientData/>
  </xdr:twoCellAnchor>
  <xdr:twoCellAnchor>
    <xdr:from>
      <xdr:col>7</xdr:col>
      <xdr:colOff>143335</xdr:colOff>
      <xdr:row>3</xdr:row>
      <xdr:rowOff>63110</xdr:rowOff>
    </xdr:from>
    <xdr:to>
      <xdr:col>8</xdr:col>
      <xdr:colOff>712441</xdr:colOff>
      <xdr:row>4</xdr:row>
      <xdr:rowOff>149920</xdr:rowOff>
    </xdr:to>
    <xdr:sp macro="" textlink="">
      <xdr:nvSpPr>
        <xdr:cNvPr id="16" name="Rectángulo 15">
          <a:hlinkClick xmlns:r="http://schemas.openxmlformats.org/officeDocument/2006/relationships" r:id="rId13"/>
          <a:extLst>
            <a:ext uri="{FF2B5EF4-FFF2-40B4-BE49-F238E27FC236}">
              <a16:creationId xmlns:a16="http://schemas.microsoft.com/office/drawing/2014/main" id="{04047720-7C41-47E8-8569-766D861A5116}"/>
            </a:ext>
          </a:extLst>
        </xdr:cNvPr>
        <xdr:cNvSpPr/>
      </xdr:nvSpPr>
      <xdr:spPr>
        <a:xfrm>
          <a:off x="5641458" y="573064"/>
          <a:ext cx="1354552" cy="256794"/>
        </a:xfrm>
        <a:prstGeom prst="rect">
          <a:avLst/>
        </a:prstGeom>
        <a:solidFill>
          <a:srgbClr val="92D050"/>
        </a:solidFill>
        <a:ln>
          <a:noFill/>
        </a:ln>
        <a:effectLst>
          <a:outerShdw blurRad="107950" dist="12700" dir="5400000" algn="ctr">
            <a:srgbClr val="000000"/>
          </a:outerShdw>
        </a:effectLst>
        <a:scene3d>
          <a:camera prst="orthographicFront">
            <a:rot lat="0" lon="0" rev="0"/>
          </a:camera>
          <a:lightRig rig="soft" dir="t">
            <a:rot lat="0" lon="0" rev="0"/>
          </a:lightRig>
        </a:scene3d>
        <a:sp3d contourW="44450" prstMaterial="matte">
          <a:bevelT w="63500" h="63500" prst="artDeco"/>
          <a:contourClr>
            <a:srgbClr val="FFFFFF"/>
          </a:contourClr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900" b="1">
              <a:latin typeface="Humanst521 BT" panose="020B0602020204020204" pitchFamily="34" charset="0"/>
            </a:rPr>
            <a:t>MICRO LOCALIZACIÓN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1</xdr:row>
      <xdr:rowOff>0</xdr:rowOff>
    </xdr:from>
    <xdr:to>
      <xdr:col>15</xdr:col>
      <xdr:colOff>95250</xdr:colOff>
      <xdr:row>4</xdr:row>
      <xdr:rowOff>47625</xdr:rowOff>
    </xdr:to>
    <xdr:sp macro="" textlink="">
      <xdr:nvSpPr>
        <xdr:cNvPr id="4" name="Flecha: hacia la izquierda 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26FE2E9-A102-4D6F-B3E7-6DD212E5D707}"/>
            </a:ext>
          </a:extLst>
        </xdr:cNvPr>
        <xdr:cNvSpPr/>
      </xdr:nvSpPr>
      <xdr:spPr>
        <a:xfrm>
          <a:off x="15420975" y="161925"/>
          <a:ext cx="857250" cy="533400"/>
        </a:xfrm>
        <a:prstGeom prst="leftArrow">
          <a:avLst/>
        </a:prstGeom>
        <a:solidFill>
          <a:schemeClr val="accent6"/>
        </a:solidFill>
        <a:ln>
          <a:noFill/>
        </a:ln>
        <a:effectLst>
          <a:outerShdw blurRad="107950" dist="12700" dir="5400000" algn="ctr">
            <a:srgbClr val="000000"/>
          </a:outerShdw>
        </a:effectLst>
        <a:scene3d>
          <a:camera prst="orthographicFront">
            <a:rot lat="0" lon="0" rev="0"/>
          </a:camera>
          <a:lightRig rig="soft" dir="t">
            <a:rot lat="0" lon="0" rev="0"/>
          </a:lightRig>
        </a:scene3d>
        <a:sp3d contourW="44450" prstMaterial="matte">
          <a:bevelT w="63500" h="63500" prst="artDeco"/>
          <a:contourClr>
            <a:srgbClr val="FFFFFF"/>
          </a:contourClr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100" b="1">
              <a:latin typeface="Humanst521 BT" panose="020B0602020204020204" pitchFamily="34" charset="0"/>
            </a:rPr>
            <a:t>INICIO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0</xdr:colOff>
      <xdr:row>1</xdr:row>
      <xdr:rowOff>0</xdr:rowOff>
    </xdr:from>
    <xdr:to>
      <xdr:col>10</xdr:col>
      <xdr:colOff>65943</xdr:colOff>
      <xdr:row>3</xdr:row>
      <xdr:rowOff>102577</xdr:rowOff>
    </xdr:to>
    <xdr:sp macro="" textlink="">
      <xdr:nvSpPr>
        <xdr:cNvPr id="3" name="Flecha: hacia la izquierda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56890BBF-15A7-4C39-9034-6508E4B56C03}"/>
            </a:ext>
          </a:extLst>
        </xdr:cNvPr>
        <xdr:cNvSpPr/>
      </xdr:nvSpPr>
      <xdr:spPr>
        <a:xfrm>
          <a:off x="8044962" y="161192"/>
          <a:ext cx="762000" cy="424962"/>
        </a:xfrm>
        <a:prstGeom prst="leftArrow">
          <a:avLst/>
        </a:prstGeom>
        <a:solidFill>
          <a:schemeClr val="accent6"/>
        </a:solidFill>
        <a:ln>
          <a:noFill/>
        </a:ln>
        <a:effectLst>
          <a:outerShdw blurRad="107950" dist="12700" dir="5400000" algn="ctr">
            <a:srgbClr val="000000"/>
          </a:outerShdw>
        </a:effectLst>
        <a:scene3d>
          <a:camera prst="orthographicFront">
            <a:rot lat="0" lon="0" rev="0"/>
          </a:camera>
          <a:lightRig rig="soft" dir="t">
            <a:rot lat="0" lon="0" rev="0"/>
          </a:lightRig>
        </a:scene3d>
        <a:sp3d contourW="44450" prstMaterial="matte">
          <a:bevelT w="63500" h="63500" prst="artDeco"/>
          <a:contourClr>
            <a:srgbClr val="FFFFFF"/>
          </a:contourClr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100" b="1">
              <a:latin typeface="Humanst521 BT" panose="020B0602020204020204" pitchFamily="34" charset="0"/>
            </a:rPr>
            <a:t>INICIO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114300</xdr:colOff>
      <xdr:row>11</xdr:row>
      <xdr:rowOff>133350</xdr:rowOff>
    </xdr:from>
    <xdr:to>
      <xdr:col>8</xdr:col>
      <xdr:colOff>971550</xdr:colOff>
      <xdr:row>15</xdr:row>
      <xdr:rowOff>19050</xdr:rowOff>
    </xdr:to>
    <xdr:sp macro="" textlink="">
      <xdr:nvSpPr>
        <xdr:cNvPr id="2" name="Flecha: hacia la izquierda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B7336144-F984-4310-A0AC-AC99269C8A3D}"/>
            </a:ext>
          </a:extLst>
        </xdr:cNvPr>
        <xdr:cNvSpPr/>
      </xdr:nvSpPr>
      <xdr:spPr>
        <a:xfrm>
          <a:off x="11306175" y="1590675"/>
          <a:ext cx="857250" cy="533400"/>
        </a:xfrm>
        <a:prstGeom prst="leftArrow">
          <a:avLst/>
        </a:prstGeom>
        <a:solidFill>
          <a:schemeClr val="accent6"/>
        </a:solidFill>
        <a:ln>
          <a:noFill/>
        </a:ln>
        <a:effectLst>
          <a:outerShdw blurRad="107950" dist="12700" dir="5400000" algn="ctr">
            <a:srgbClr val="000000"/>
          </a:outerShdw>
        </a:effectLst>
        <a:scene3d>
          <a:camera prst="orthographicFront">
            <a:rot lat="0" lon="0" rev="0"/>
          </a:camera>
          <a:lightRig rig="soft" dir="t">
            <a:rot lat="0" lon="0" rev="0"/>
          </a:lightRig>
        </a:scene3d>
        <a:sp3d contourW="44450" prstMaterial="matte">
          <a:bevelT w="63500" h="63500" prst="artDeco"/>
          <a:contourClr>
            <a:srgbClr val="FFFFFF"/>
          </a:contourClr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100" b="1">
              <a:latin typeface="Humanst521 BT" panose="020B0602020204020204" pitchFamily="34" charset="0"/>
            </a:rPr>
            <a:t>INICIO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685800</xdr:colOff>
      <xdr:row>1</xdr:row>
      <xdr:rowOff>47625</xdr:rowOff>
    </xdr:from>
    <xdr:to>
      <xdr:col>8</xdr:col>
      <xdr:colOff>19050</xdr:colOff>
      <xdr:row>4</xdr:row>
      <xdr:rowOff>95250</xdr:rowOff>
    </xdr:to>
    <xdr:sp macro="" textlink="">
      <xdr:nvSpPr>
        <xdr:cNvPr id="2" name="Flecha: hacia la izquierda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3AB2F4E0-4DE0-444D-B877-52E3457DCF63}"/>
            </a:ext>
          </a:extLst>
        </xdr:cNvPr>
        <xdr:cNvSpPr/>
      </xdr:nvSpPr>
      <xdr:spPr>
        <a:xfrm>
          <a:off x="7105650" y="209550"/>
          <a:ext cx="857250" cy="533400"/>
        </a:xfrm>
        <a:prstGeom prst="leftArrow">
          <a:avLst/>
        </a:prstGeom>
        <a:solidFill>
          <a:schemeClr val="accent6"/>
        </a:solidFill>
        <a:ln>
          <a:noFill/>
        </a:ln>
        <a:effectLst>
          <a:outerShdw blurRad="107950" dist="12700" dir="5400000" algn="ctr">
            <a:srgbClr val="000000"/>
          </a:outerShdw>
        </a:effectLst>
        <a:scene3d>
          <a:camera prst="orthographicFront">
            <a:rot lat="0" lon="0" rev="0"/>
          </a:camera>
          <a:lightRig rig="soft" dir="t">
            <a:rot lat="0" lon="0" rev="0"/>
          </a:lightRig>
        </a:scene3d>
        <a:sp3d contourW="44450" prstMaterial="matte">
          <a:bevelT w="63500" h="63500" prst="artDeco"/>
          <a:contourClr>
            <a:srgbClr val="FFFFFF"/>
          </a:contourClr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100" b="1">
              <a:latin typeface="Humanst521 BT" panose="020B0602020204020204" pitchFamily="34" charset="0"/>
            </a:rPr>
            <a:t>INICIO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173935</xdr:colOff>
      <xdr:row>0</xdr:row>
      <xdr:rowOff>165651</xdr:rowOff>
    </xdr:from>
    <xdr:to>
      <xdr:col>8</xdr:col>
      <xdr:colOff>1031185</xdr:colOff>
      <xdr:row>4</xdr:row>
      <xdr:rowOff>36442</xdr:rowOff>
    </xdr:to>
    <xdr:sp macro="" textlink="">
      <xdr:nvSpPr>
        <xdr:cNvPr id="2" name="Flecha: hacia la izquierda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3ACEFFBE-8734-4634-912B-E8712DBEFB78}"/>
            </a:ext>
          </a:extLst>
        </xdr:cNvPr>
        <xdr:cNvSpPr/>
      </xdr:nvSpPr>
      <xdr:spPr>
        <a:xfrm>
          <a:off x="6187109" y="165651"/>
          <a:ext cx="857250" cy="533400"/>
        </a:xfrm>
        <a:prstGeom prst="leftArrow">
          <a:avLst/>
        </a:prstGeom>
        <a:solidFill>
          <a:schemeClr val="accent6"/>
        </a:solidFill>
        <a:ln>
          <a:noFill/>
        </a:ln>
        <a:effectLst>
          <a:outerShdw blurRad="107950" dist="12700" dir="5400000" algn="ctr">
            <a:srgbClr val="000000"/>
          </a:outerShdw>
        </a:effectLst>
        <a:scene3d>
          <a:camera prst="orthographicFront">
            <a:rot lat="0" lon="0" rev="0"/>
          </a:camera>
          <a:lightRig rig="soft" dir="t">
            <a:rot lat="0" lon="0" rev="0"/>
          </a:lightRig>
        </a:scene3d>
        <a:sp3d contourW="44450" prstMaterial="matte">
          <a:bevelT w="63500" h="63500" prst="artDeco"/>
          <a:contourClr>
            <a:srgbClr val="FFFFFF"/>
          </a:contourClr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100" b="1">
              <a:latin typeface="Humanst521 BT" panose="020B0602020204020204" pitchFamily="34" charset="0"/>
            </a:rPr>
            <a:t>INICIO</a:t>
          </a: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285750</xdr:colOff>
      <xdr:row>1</xdr:row>
      <xdr:rowOff>19050</xdr:rowOff>
    </xdr:from>
    <xdr:to>
      <xdr:col>8</xdr:col>
      <xdr:colOff>1143000</xdr:colOff>
      <xdr:row>4</xdr:row>
      <xdr:rowOff>66675</xdr:rowOff>
    </xdr:to>
    <xdr:sp macro="" textlink="">
      <xdr:nvSpPr>
        <xdr:cNvPr id="2" name="Flecha: hacia la izquierda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75D17073-7AA8-4AEB-9879-985FA420A819}"/>
            </a:ext>
          </a:extLst>
        </xdr:cNvPr>
        <xdr:cNvSpPr/>
      </xdr:nvSpPr>
      <xdr:spPr>
        <a:xfrm>
          <a:off x="7572375" y="180975"/>
          <a:ext cx="857250" cy="533400"/>
        </a:xfrm>
        <a:prstGeom prst="leftArrow">
          <a:avLst/>
        </a:prstGeom>
        <a:solidFill>
          <a:schemeClr val="accent6"/>
        </a:solidFill>
        <a:ln>
          <a:noFill/>
        </a:ln>
        <a:effectLst>
          <a:outerShdw blurRad="107950" dist="12700" dir="5400000" algn="ctr">
            <a:srgbClr val="000000"/>
          </a:outerShdw>
        </a:effectLst>
        <a:scene3d>
          <a:camera prst="orthographicFront">
            <a:rot lat="0" lon="0" rev="0"/>
          </a:camera>
          <a:lightRig rig="soft" dir="t">
            <a:rot lat="0" lon="0" rev="0"/>
          </a:lightRig>
        </a:scene3d>
        <a:sp3d contourW="44450" prstMaterial="matte">
          <a:bevelT w="63500" h="63500" prst="artDeco"/>
          <a:contourClr>
            <a:srgbClr val="FFFFFF"/>
          </a:contourClr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100" b="1">
              <a:latin typeface="Humanst521 BT" panose="020B0602020204020204" pitchFamily="34" charset="0"/>
            </a:rPr>
            <a:t>INICIO</a:t>
          </a: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455543</xdr:colOff>
      <xdr:row>0</xdr:row>
      <xdr:rowOff>132522</xdr:rowOff>
    </xdr:from>
    <xdr:to>
      <xdr:col>6</xdr:col>
      <xdr:colOff>550793</xdr:colOff>
      <xdr:row>4</xdr:row>
      <xdr:rowOff>3313</xdr:rowOff>
    </xdr:to>
    <xdr:sp macro="" textlink="">
      <xdr:nvSpPr>
        <xdr:cNvPr id="2" name="Flecha: hacia la izquierda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11E78A6F-2228-40B4-A42F-D2E9E5A3B88E}"/>
            </a:ext>
          </a:extLst>
        </xdr:cNvPr>
        <xdr:cNvSpPr/>
      </xdr:nvSpPr>
      <xdr:spPr>
        <a:xfrm>
          <a:off x="6195391" y="132522"/>
          <a:ext cx="857250" cy="533400"/>
        </a:xfrm>
        <a:prstGeom prst="leftArrow">
          <a:avLst/>
        </a:prstGeom>
        <a:solidFill>
          <a:schemeClr val="accent6"/>
        </a:solidFill>
        <a:ln>
          <a:noFill/>
        </a:ln>
        <a:effectLst>
          <a:outerShdw blurRad="107950" dist="12700" dir="5400000" algn="ctr">
            <a:srgbClr val="000000"/>
          </a:outerShdw>
        </a:effectLst>
        <a:scene3d>
          <a:camera prst="orthographicFront">
            <a:rot lat="0" lon="0" rev="0"/>
          </a:camera>
          <a:lightRig rig="soft" dir="t">
            <a:rot lat="0" lon="0" rev="0"/>
          </a:lightRig>
        </a:scene3d>
        <a:sp3d contourW="44450" prstMaterial="matte">
          <a:bevelT w="63500" h="63500" prst="artDeco"/>
          <a:contourClr>
            <a:srgbClr val="FFFFFF"/>
          </a:contourClr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100" b="1">
              <a:latin typeface="Humanst521 BT" panose="020B0602020204020204" pitchFamily="34" charset="0"/>
            </a:rPr>
            <a:t>INICIO</a:t>
          </a:r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738554</xdr:colOff>
      <xdr:row>0</xdr:row>
      <xdr:rowOff>83527</xdr:rowOff>
    </xdr:from>
    <xdr:to>
      <xdr:col>8</xdr:col>
      <xdr:colOff>71804</xdr:colOff>
      <xdr:row>3</xdr:row>
      <xdr:rowOff>133350</xdr:rowOff>
    </xdr:to>
    <xdr:sp macro="" textlink="">
      <xdr:nvSpPr>
        <xdr:cNvPr id="2" name="Flecha: hacia la izquierda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789E3112-1067-4DA8-8A2A-0C1436119E64}"/>
            </a:ext>
          </a:extLst>
        </xdr:cNvPr>
        <xdr:cNvSpPr/>
      </xdr:nvSpPr>
      <xdr:spPr>
        <a:xfrm>
          <a:off x="7996604" y="83527"/>
          <a:ext cx="857250" cy="535598"/>
        </a:xfrm>
        <a:prstGeom prst="leftArrow">
          <a:avLst/>
        </a:prstGeom>
        <a:solidFill>
          <a:schemeClr val="accent6"/>
        </a:solidFill>
        <a:ln>
          <a:noFill/>
        </a:ln>
        <a:effectLst>
          <a:outerShdw blurRad="107950" dist="12700" dir="5400000" algn="ctr">
            <a:srgbClr val="000000"/>
          </a:outerShdw>
        </a:effectLst>
        <a:scene3d>
          <a:camera prst="orthographicFront">
            <a:rot lat="0" lon="0" rev="0"/>
          </a:camera>
          <a:lightRig rig="soft" dir="t">
            <a:rot lat="0" lon="0" rev="0"/>
          </a:lightRig>
        </a:scene3d>
        <a:sp3d contourW="44450" prstMaterial="matte">
          <a:bevelT w="63500" h="63500" prst="artDeco"/>
          <a:contourClr>
            <a:srgbClr val="FFFFFF"/>
          </a:contourClr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100" b="1">
              <a:latin typeface="Humanst521 BT" panose="020B0602020204020204" pitchFamily="34" charset="0"/>
            </a:rPr>
            <a:t>INICIO</a:t>
          </a:r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714375</xdr:colOff>
      <xdr:row>1</xdr:row>
      <xdr:rowOff>9525</xdr:rowOff>
    </xdr:from>
    <xdr:to>
      <xdr:col>8</xdr:col>
      <xdr:colOff>647700</xdr:colOff>
      <xdr:row>4</xdr:row>
      <xdr:rowOff>57150</xdr:rowOff>
    </xdr:to>
    <xdr:sp macro="" textlink="">
      <xdr:nvSpPr>
        <xdr:cNvPr id="2" name="Flecha: hacia la izquierda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815A6F6C-B5E2-43BF-9199-3A76EE103EE5}"/>
            </a:ext>
          </a:extLst>
        </xdr:cNvPr>
        <xdr:cNvSpPr/>
      </xdr:nvSpPr>
      <xdr:spPr>
        <a:xfrm>
          <a:off x="10410825" y="171450"/>
          <a:ext cx="857250" cy="533400"/>
        </a:xfrm>
        <a:prstGeom prst="leftArrow">
          <a:avLst/>
        </a:prstGeom>
        <a:solidFill>
          <a:schemeClr val="accent6"/>
        </a:solidFill>
        <a:ln>
          <a:noFill/>
        </a:ln>
        <a:effectLst>
          <a:outerShdw blurRad="107950" dist="12700" dir="5400000" algn="ctr">
            <a:srgbClr val="000000"/>
          </a:outerShdw>
        </a:effectLst>
        <a:scene3d>
          <a:camera prst="orthographicFront">
            <a:rot lat="0" lon="0" rev="0"/>
          </a:camera>
          <a:lightRig rig="soft" dir="t">
            <a:rot lat="0" lon="0" rev="0"/>
          </a:lightRig>
        </a:scene3d>
        <a:sp3d contourW="44450" prstMaterial="matte">
          <a:bevelT w="63500" h="63500" prst="artDeco"/>
          <a:contourClr>
            <a:srgbClr val="FFFFFF"/>
          </a:contourClr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100" b="1">
              <a:latin typeface="Humanst521 BT" panose="020B0602020204020204" pitchFamily="34" charset="0"/>
            </a:rPr>
            <a:t>INICIO</a:t>
          </a:r>
        </a:p>
      </xdr:txBody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278423</xdr:colOff>
      <xdr:row>0</xdr:row>
      <xdr:rowOff>102577</xdr:rowOff>
    </xdr:from>
    <xdr:to>
      <xdr:col>8</xdr:col>
      <xdr:colOff>373673</xdr:colOff>
      <xdr:row>3</xdr:row>
      <xdr:rowOff>152400</xdr:rowOff>
    </xdr:to>
    <xdr:sp macro="" textlink="">
      <xdr:nvSpPr>
        <xdr:cNvPr id="2" name="Flecha: hacia la izquierda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BAA1670A-A55A-491D-9DB7-72DBA4D360D0}"/>
            </a:ext>
          </a:extLst>
        </xdr:cNvPr>
        <xdr:cNvSpPr/>
      </xdr:nvSpPr>
      <xdr:spPr>
        <a:xfrm>
          <a:off x="8081596" y="102577"/>
          <a:ext cx="857250" cy="533400"/>
        </a:xfrm>
        <a:prstGeom prst="leftArrow">
          <a:avLst/>
        </a:prstGeom>
        <a:solidFill>
          <a:schemeClr val="accent6"/>
        </a:solidFill>
        <a:ln>
          <a:noFill/>
        </a:ln>
        <a:effectLst>
          <a:outerShdw blurRad="107950" dist="12700" dir="5400000" algn="ctr">
            <a:srgbClr val="000000"/>
          </a:outerShdw>
        </a:effectLst>
        <a:scene3d>
          <a:camera prst="orthographicFront">
            <a:rot lat="0" lon="0" rev="0"/>
          </a:camera>
          <a:lightRig rig="soft" dir="t">
            <a:rot lat="0" lon="0" rev="0"/>
          </a:lightRig>
        </a:scene3d>
        <a:sp3d contourW="44450" prstMaterial="matte">
          <a:bevelT w="63500" h="63500" prst="artDeco"/>
          <a:contourClr>
            <a:srgbClr val="FFFFFF"/>
          </a:contourClr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100" b="1">
              <a:latin typeface="Humanst521 BT" panose="020B0602020204020204" pitchFamily="34" charset="0"/>
            </a:rPr>
            <a:t>INICIO</a:t>
          </a:r>
        </a:p>
      </xdr:txBody>
    </xdr: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378069</xdr:colOff>
      <xdr:row>57</xdr:row>
      <xdr:rowOff>109173</xdr:rowOff>
    </xdr:from>
    <xdr:to>
      <xdr:col>7</xdr:col>
      <xdr:colOff>608867</xdr:colOff>
      <xdr:row>74</xdr:row>
      <xdr:rowOff>112103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B7F89E19-00F8-4D1E-90DF-CC8D34B6A6C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352425</xdr:colOff>
      <xdr:row>6</xdr:row>
      <xdr:rowOff>38100</xdr:rowOff>
    </xdr:from>
    <xdr:to>
      <xdr:col>7</xdr:col>
      <xdr:colOff>123825</xdr:colOff>
      <xdr:row>9</xdr:row>
      <xdr:rowOff>87923</xdr:rowOff>
    </xdr:to>
    <xdr:sp macro="" textlink="">
      <xdr:nvSpPr>
        <xdr:cNvPr id="4" name="Flecha: hacia la izquierda 3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21008383-B3EC-4D8F-872B-993840532C0F}"/>
            </a:ext>
          </a:extLst>
        </xdr:cNvPr>
        <xdr:cNvSpPr/>
      </xdr:nvSpPr>
      <xdr:spPr>
        <a:xfrm>
          <a:off x="8734425" y="200025"/>
          <a:ext cx="857250" cy="535598"/>
        </a:xfrm>
        <a:prstGeom prst="leftArrow">
          <a:avLst/>
        </a:prstGeom>
        <a:solidFill>
          <a:schemeClr val="accent6"/>
        </a:solidFill>
        <a:ln>
          <a:noFill/>
        </a:ln>
        <a:effectLst>
          <a:outerShdw blurRad="107950" dist="12700" dir="5400000" algn="ctr">
            <a:srgbClr val="000000"/>
          </a:outerShdw>
        </a:effectLst>
        <a:scene3d>
          <a:camera prst="orthographicFront">
            <a:rot lat="0" lon="0" rev="0"/>
          </a:camera>
          <a:lightRig rig="soft" dir="t">
            <a:rot lat="0" lon="0" rev="0"/>
          </a:lightRig>
        </a:scene3d>
        <a:sp3d contourW="44450" prstMaterial="matte">
          <a:bevelT w="63500" h="63500" prst="artDeco"/>
          <a:contourClr>
            <a:srgbClr val="FFFFFF"/>
          </a:contourClr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100" b="1">
              <a:latin typeface="Humanst521 BT" panose="020B0602020204020204" pitchFamily="34" charset="0"/>
            </a:rPr>
            <a:t>INICIO</a:t>
          </a:r>
        </a:p>
      </xdr:txBody>
    </xdr:sp>
    <xdr:clientData/>
  </xdr:twoCellAnchor>
  <xdr:twoCellAnchor>
    <xdr:from>
      <xdr:col>7</xdr:col>
      <xdr:colOff>676275</xdr:colOff>
      <xdr:row>22</xdr:row>
      <xdr:rowOff>123825</xdr:rowOff>
    </xdr:from>
    <xdr:to>
      <xdr:col>7</xdr:col>
      <xdr:colOff>885825</xdr:colOff>
      <xdr:row>42</xdr:row>
      <xdr:rowOff>66675</xdr:rowOff>
    </xdr:to>
    <xdr:sp macro="" textlink="">
      <xdr:nvSpPr>
        <xdr:cNvPr id="3" name="Abrir llave 2">
          <a:extLst>
            <a:ext uri="{FF2B5EF4-FFF2-40B4-BE49-F238E27FC236}">
              <a16:creationId xmlns:a16="http://schemas.microsoft.com/office/drawing/2014/main" id="{F0BD6C95-5822-4A70-9BC3-5401411C00E4}"/>
            </a:ext>
          </a:extLst>
        </xdr:cNvPr>
        <xdr:cNvSpPr/>
      </xdr:nvSpPr>
      <xdr:spPr>
        <a:xfrm>
          <a:off x="10144125" y="3524250"/>
          <a:ext cx="209550" cy="3181350"/>
        </a:xfrm>
        <a:prstGeom prst="leftBrace">
          <a:avLst/>
        </a:prstGeom>
        <a:ln w="3810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s-ES" sz="1100"/>
        </a:p>
      </xdr:txBody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Usuario" id="{8B18ED8C-B3CD-4B29-9BC2-C5002A978BA9}" userId="Usuario" providerId="None"/>
</personList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C5" dT="2022-12-21T14:06:17.87" personId="{8B18ED8C-B3CD-4B29-9BC2-C5002A978BA9}" id="{BFB0835A-F234-47F0-9633-115BE85D9214}">
    <text>Digite en esta celda la capacidad que diseñó para su proyecto</text>
  </threadedComment>
  <threadedComment ref="C6" dT="2022-12-21T14:06:26.71" personId="{8B18ED8C-B3CD-4B29-9BC2-C5002A978BA9}" id="{9DFF0F7B-B729-409B-BBA7-C342A498208D}">
    <text>Digite en esta celda la capacidad que instaló para su proyecto</text>
  </threadedComment>
  <threadedComment ref="B31" dT="2020-07-26T21:25:07.09" personId="{8B18ED8C-B3CD-4B29-9BC2-C5002A978BA9}" id="{14A05D52-B955-4974-AB61-AF5B788B1585}">
    <text>materiales, insumos y otros por línea de producto o servicio, cuantificando para la capacidad utilizada del año 1.)</text>
  </threadedComment>
  <threadedComment ref="C32" dT="2020-07-26T21:29:45.28" personId="{8B18ED8C-B3CD-4B29-9BC2-C5002A978BA9}" id="{E2AAD241-A904-427E-92BF-E3226182498C}">
    <text>al por mayor: galón, litro, bulto de 50 Kg, cuñete, tambor, kilo, rollo de 500 m, etc.</text>
  </threadedComment>
  <threadedComment ref="D32" dT="2020-07-26T21:33:48.40" personId="{8B18ED8C-B3CD-4B29-9BC2-C5002A978BA9}" id="{3779F2C7-D3B5-4D14-A0B6-9E86AA254259}">
    <text>Divida la cantidad por unidad de producto entre la unidad de medida; por ejemplo: si necesita 5  c.c. y la unidad de medida es el litro, entonces= 5/1000=0.005</text>
  </threadedComment>
  <threadedComment ref="I33" dT="2020-07-26T21:23:10.73" personId="{8B18ED8C-B3CD-4B29-9BC2-C5002A978BA9}" id="{5912847C-D0F9-45DD-9ECE-E148A62FF936}">
    <text>Registra el costo histórico del equipo mobiliario, mecánico y electrónico de propiedad del ente económico, utilizado para el desarrollo de sus operaciones.(https://puc.com.co/)</text>
  </threadedComment>
  <threadedComment ref="B56" dT="2020-07-26T21:25:07.09" personId="{8B18ED8C-B3CD-4B29-9BC2-C5002A978BA9}" id="{18504929-39C5-4456-B3F3-AEB0DCF724E6}">
    <text>materiales indirectos, insumos y otros por línea de producto o servicio, cuantificando para la capacidad utilizada del año 1.)</text>
  </threadedComment>
  <threadedComment ref="C57" dT="2020-07-26T21:29:45.28" personId="{8B18ED8C-B3CD-4B29-9BC2-C5002A978BA9}" id="{894E0D3E-6F20-43DE-895D-4AAE93209558}">
    <text>al por mayor: galón, litro, bulto de 50 Kg, cuñete, tambor, kilo, rollo de 500 m, etc.</text>
  </threadedComment>
  <threadedComment ref="D57" dT="2020-07-26T21:34:33.45" personId="{8B18ED8C-B3CD-4B29-9BC2-C5002A978BA9}" id="{C93F9F17-B841-41FB-8A29-BFEDB835EB3B}">
    <text>Divida la cantidad por unidad de producto entre la unidad de medida; por ejemplo: si necesita 5  c.c. y la unidad de medida es el litro, entonces= 5/1000=0.005</text>
  </threadedComment>
  <threadedComment ref="I75" dT="2020-07-26T21:22:56.59" personId="{8B18ED8C-B3CD-4B29-9BC2-C5002A978BA9}" id="{23A494F2-EC62-4019-A0D7-AD5F93592C88}">
    <text>solo operativos</text>
  </threadedComment>
  <threadedComment ref="I98" dT="2020-07-26T21:22:37.17" personId="{8B18ED8C-B3CD-4B29-9BC2-C5002A978BA9}" id="{C29EF0B9-240C-4638-A5C1-CD0C3B5525B5}">
    <text>Comprende conceptos tales como elementos necesarios para mantenimiento y reparaciones, herramientas e implementos de trabajo, repuestos para maquinaria y equipo de producción. (https://puc.com.co/)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A2" dT="2020-07-26T21:23:10.73" personId="{8B18ED8C-B3CD-4B29-9BC2-C5002A978BA9}" id="{2704BB61-B7CF-49D7-B528-C1043D64377E}">
    <text>Registra el costo histórico del equipo mobiliario, mecánico y electrónico de propiedad del ente económico, utilizado para el desarrollo de sus operaciones.(https://puc.com.co/)</text>
  </threadedComment>
  <threadedComment ref="J7" dT="2022-12-21T14:05:51.37" personId="{8B18ED8C-B3CD-4B29-9BC2-C5002A978BA9}" id="{A023FAE7-B0DC-4B6C-991C-BB370FFFEE97}">
    <text>Digite el valor de salvamento</text>
  </threadedComment>
  <threadedComment ref="I10" dT="2022-12-21T14:15:12.98" personId="{8B18ED8C-B3CD-4B29-9BC2-C5002A978BA9}" id="{3818AEE7-BA5E-48CC-BB8C-1A20E543D4FC}">
    <text>Si es una comercializadora, defina un presupuesto para inventario de mercancía para la venta</text>
  </threadedComment>
  <threadedComment ref="J41" dT="2020-07-26T22:15:20.75" personId="{8B18ED8C-B3CD-4B29-9BC2-C5002A978BA9}" id="{310BF26D-51B1-4CCB-90FC-4C31A5F27907}">
    <text>Número de meses para capital de trabajo</text>
  </threadedComment>
  <threadedComment ref="A46" dT="2020-07-26T21:22:56.59" personId="{8B18ED8C-B3CD-4B29-9BC2-C5002A978BA9}" id="{EDAF1C67-E244-461E-A932-D6F44D5471E2}">
    <text>solo operativos</text>
  </threadedComment>
  <threadedComment ref="A71" dT="2020-07-26T21:22:37.17" personId="{8B18ED8C-B3CD-4B29-9BC2-C5002A978BA9}" id="{4F77070F-2C0D-4CAB-9E74-E8A3611C68CD}">
    <text>Comprende conceptos tales como elementos necesarios para mantenimiento y reparaciones, herramientas e implementos de trabajo, repuestos para maquinaria y equipo de producción. (https://puc.com.co/)</text>
  </threadedComment>
</ThreadedComments>
</file>

<file path=xl/threadedComments/threadedComment3.xml><?xml version="1.0" encoding="utf-8"?>
<ThreadedComments xmlns="http://schemas.microsoft.com/office/spreadsheetml/2018/threadedcomments" xmlns:x="http://schemas.openxmlformats.org/spreadsheetml/2006/main">
  <threadedComment ref="C5" dT="2020-07-27T20:20:47.18" personId="{8B18ED8C-B3CD-4B29-9BC2-C5002A978BA9}" id="{F3097536-9CD6-4DDF-8742-87E2D7FB1ABF}">
    <text>Porcentajes sujetos a legislación</text>
  </threadedComment>
  <threadedComment ref="B20" dT="2020-07-26T21:25:07.09" personId="{8B18ED8C-B3CD-4B29-9BC2-C5002A978BA9}" id="{29DFD426-069E-4224-8DC9-25BE1F21BF52}">
    <text>materiales, inventarios, materiales indirectos, insumos y otros por línea de producto o servicio, cuantificando para la capacidad utilizada del año 1.)</text>
  </threadedComment>
  <threadedComment ref="C21" dT="2020-07-26T21:29:45.28" personId="{8B18ED8C-B3CD-4B29-9BC2-C5002A978BA9}" id="{D74D85E8-1AA5-456E-B638-36A95326FE9D}">
    <text>al por mayor: galón, litro, bulto de 50 Kg, cuñete, tambor, kilo, rollo de 500 m, etc.</text>
  </threadedComment>
  <threadedComment ref="B45" dT="2020-07-26T21:25:07.09" personId="{8B18ED8C-B3CD-4B29-9BC2-C5002A978BA9}" id="{ECDE29E9-FD81-456E-8713-DF384C00C385}">
    <text>materiales, inventarios, materiales indirectos, insumos y otros por línea de producto o servicio, cuantificando para la capacidad utilizada del año 1.)</text>
  </threadedComment>
  <threadedComment ref="C46" dT="2020-07-26T21:29:45.28" personId="{8B18ED8C-B3CD-4B29-9BC2-C5002A978BA9}" id="{5D51110E-666F-444B-A593-A13BC72443BC}">
    <text>al por mayor: galón, litro, bulto de 50 Kg, cuñete, tambor, kilo, rollo de 500 m, etc.</text>
  </threadedComment>
  <threadedComment ref="E99" dT="2020-07-26T23:30:10.31" personId="{8B18ED8C-B3CD-4B29-9BC2-C5002A978BA9}" id="{6BA4F126-003E-420E-9BCD-FF3A9E0B2A76}">
    <text>porcentaje para mantenimiento de activos operativos</text>
  </threadedComment>
</ThreadedComments>
</file>

<file path=xl/threadedComments/threadedComment4.xml><?xml version="1.0" encoding="utf-8"?>
<ThreadedComments xmlns="http://schemas.microsoft.com/office/spreadsheetml/2018/threadedcomments" xmlns:x="http://schemas.openxmlformats.org/spreadsheetml/2006/main">
  <threadedComment ref="C5" dT="2022-12-21T14:09:25.18" personId="{8B18ED8C-B3CD-4B29-9BC2-C5002A978BA9}" id="{4A340B15-638E-4BB5-98C0-D5EBB70FB31B}">
    <text>Porcentajes sujetos a legislación</text>
  </threadedComment>
  <threadedComment ref="K5" dT="2022-12-21T14:09:33.55" personId="{8B18ED8C-B3CD-4B29-9BC2-C5002A978BA9}" id="{B893E75F-E1FA-419A-A38D-7CC7D0DB0D4E}">
    <text>Porcentajes sujetos a legislación</text>
  </threadedComment>
  <threadedComment ref="B35" dT="2020-07-27T20:14:03.56" personId="{8B18ED8C-B3CD-4B29-9BC2-C5002A978BA9}" id="{AD236284-A61D-4D7D-B4F6-856CE0A0DC36}">
    <text>Office, diseño, plataformas</text>
  </threadedComment>
  <threadedComment ref="C53" dT="2020-07-27T20:33:19.56" personId="{8B18ED8C-B3CD-4B29-9BC2-C5002A978BA9}" id="{EC469E02-B723-435C-91FE-2ECC200065AA}">
    <text>Presupuesto máximo por comisiones de ventas que incluye prestaciones sociales</text>
  </threadedComment>
</ThreadedComments>
</file>

<file path=xl/threadedComments/threadedComment5.xml><?xml version="1.0" encoding="utf-8"?>
<ThreadedComments xmlns="http://schemas.microsoft.com/office/spreadsheetml/2018/threadedcomments" xmlns:x="http://schemas.openxmlformats.org/spreadsheetml/2006/main">
  <threadedComment ref="C12" dT="2020-07-27T20:42:46.49" personId="{8B18ED8C-B3CD-4B29-9BC2-C5002A978BA9}" id="{60FA7014-5380-490D-8B3A-9A8D44BFE428}">
    <text>Tasa sujeta a legislación tributaria</text>
  </threadedComment>
</ThreadedComments>
</file>

<file path=xl/threadedComments/threadedComment6.xml><?xml version="1.0" encoding="utf-8"?>
<ThreadedComments xmlns="http://schemas.microsoft.com/office/spreadsheetml/2018/threadedcomments" xmlns:x="http://schemas.openxmlformats.org/spreadsheetml/2006/main">
  <threadedComment ref="G17" dT="2020-07-27T02:20:41.35" personId="{8B18ED8C-B3CD-4B29-9BC2-C5002A978BA9}" id="{CB8629BF-B4F4-4EDE-A493-83686ED2A4AC}">
    <text>tasa de Imporenta acorde a legislación tributaria</text>
  </threadedComment>
  <threadedComment ref="G18" dT="2022-12-21T14:11:35.14" personId="{8B18ED8C-B3CD-4B29-9BC2-C5002A978BA9}" id="{FD507623-2DD2-4299-96EB-F68E196BBD34}">
    <text>Tasa de Impuesto de Industria y Comercio del municipio de domicilio y según CIIU</text>
  </threadedComment>
</ThreadedComments>
</file>

<file path=xl/threadedComments/threadedComment7.xml><?xml version="1.0" encoding="utf-8"?>
<ThreadedComments xmlns="http://schemas.microsoft.com/office/spreadsheetml/2018/threadedcomments" xmlns:x="http://schemas.openxmlformats.org/spreadsheetml/2006/main">
  <threadedComment ref="B7" dT="2020-07-28T20:53:21.12" personId="{8B18ED8C-B3CD-4B29-9BC2-C5002A978BA9}" id="{2C1CF0C5-F28C-46F9-9B52-637AE43F6E47}">
    <text>Seleccione el nivel de riesgo de la inversión y justifique</text>
  </threadedComment>
  <threadedComment ref="B8" dT="2022-12-21T14:12:59.19" personId="{8B18ED8C-B3CD-4B29-9BC2-C5002A978BA9}" id="{80058EAE-F078-45F9-8A3D-3B8504405190}">
    <text>Halle el promedio del IPC de los últimos 5 años</text>
  </threadedComment>
</ThreadedComment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5" Type="http://schemas.microsoft.com/office/2017/10/relationships/threadedComment" Target="../threadedComments/threadedComment2.xml"/><Relationship Id="rId4" Type="http://schemas.openxmlformats.org/officeDocument/2006/relationships/comments" Target="../comments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Relationship Id="rId5" Type="http://schemas.microsoft.com/office/2017/10/relationships/threadedComment" Target="../threadedComments/threadedComment3.xml"/><Relationship Id="rId4" Type="http://schemas.openxmlformats.org/officeDocument/2006/relationships/comments" Target="../comments3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drawing" Target="../drawings/drawing7.xml"/><Relationship Id="rId4" Type="http://schemas.microsoft.com/office/2017/10/relationships/threadedComment" Target="../threadedComments/threadedComment4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5" Type="http://schemas.microsoft.com/office/2017/10/relationships/threadedComment" Target="../threadedComments/threadedComment5.xml"/><Relationship Id="rId4" Type="http://schemas.openxmlformats.org/officeDocument/2006/relationships/comments" Target="../comments5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omments" Target="../comments6.xml"/><Relationship Id="rId2" Type="http://schemas.openxmlformats.org/officeDocument/2006/relationships/vmlDrawing" Target="../drawings/vmlDrawing6.vml"/><Relationship Id="rId1" Type="http://schemas.openxmlformats.org/officeDocument/2006/relationships/drawing" Target="../drawings/drawing9.xml"/><Relationship Id="rId4" Type="http://schemas.microsoft.com/office/2017/10/relationships/threadedComment" Target="../threadedComments/threadedComment6.xm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8.bin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9.bin"/><Relationship Id="rId5" Type="http://schemas.microsoft.com/office/2017/10/relationships/threadedComment" Target="../threadedComments/threadedComment7.xml"/><Relationship Id="rId4" Type="http://schemas.openxmlformats.org/officeDocument/2006/relationships/comments" Target="../comments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1337C0-D804-41B9-B8FA-9BF061C46E7F}">
  <sheetPr codeName="Hoja4"/>
  <dimension ref="B2:J23"/>
  <sheetViews>
    <sheetView showGridLines="0" showRowColHeaders="0" zoomScale="130" zoomScaleNormal="130" workbookViewId="0">
      <selection activeCell="E25" sqref="E25"/>
    </sheetView>
  </sheetViews>
  <sheetFormatPr baseColWidth="10" defaultColWidth="11.42578125" defaultRowHeight="12.75" x14ac:dyDescent="0.2"/>
  <cols>
    <col min="1" max="16384" width="11.42578125" style="81"/>
  </cols>
  <sheetData>
    <row r="2" spans="2:5" x14ac:dyDescent="0.2">
      <c r="B2" s="82" t="s">
        <v>279</v>
      </c>
    </row>
    <row r="3" spans="2:5" x14ac:dyDescent="0.2">
      <c r="B3" s="81" t="s">
        <v>391</v>
      </c>
    </row>
    <row r="5" spans="2:5" x14ac:dyDescent="0.2">
      <c r="B5" s="82" t="s">
        <v>266</v>
      </c>
    </row>
    <row r="6" spans="2:5" x14ac:dyDescent="0.2">
      <c r="B6" s="81" t="s">
        <v>293</v>
      </c>
    </row>
    <row r="7" spans="2:5" x14ac:dyDescent="0.2">
      <c r="B7" s="81" t="s">
        <v>267</v>
      </c>
    </row>
    <row r="8" spans="2:5" x14ac:dyDescent="0.2">
      <c r="B8" s="81" t="s">
        <v>269</v>
      </c>
    </row>
    <row r="9" spans="2:5" x14ac:dyDescent="0.2">
      <c r="B9" s="81" t="s">
        <v>268</v>
      </c>
    </row>
    <row r="10" spans="2:5" x14ac:dyDescent="0.2">
      <c r="B10" s="81" t="s">
        <v>294</v>
      </c>
    </row>
    <row r="11" spans="2:5" x14ac:dyDescent="0.2">
      <c r="B11" s="81" t="s">
        <v>292</v>
      </c>
    </row>
    <row r="12" spans="2:5" x14ac:dyDescent="0.2">
      <c r="B12" s="81" t="s">
        <v>377</v>
      </c>
    </row>
    <row r="14" spans="2:5" x14ac:dyDescent="0.2">
      <c r="B14" s="82" t="s">
        <v>270</v>
      </c>
    </row>
    <row r="15" spans="2:5" x14ac:dyDescent="0.2">
      <c r="B15" s="81" t="s">
        <v>275</v>
      </c>
      <c r="E15" s="81" t="s">
        <v>282</v>
      </c>
    </row>
    <row r="16" spans="2:5" x14ac:dyDescent="0.2">
      <c r="B16" s="81" t="s">
        <v>271</v>
      </c>
      <c r="E16" s="81" t="s">
        <v>281</v>
      </c>
    </row>
    <row r="17" spans="2:10" x14ac:dyDescent="0.2">
      <c r="B17" s="81" t="s">
        <v>272</v>
      </c>
      <c r="E17" s="81" t="s">
        <v>281</v>
      </c>
    </row>
    <row r="18" spans="2:10" x14ac:dyDescent="0.2">
      <c r="B18" s="81" t="s">
        <v>273</v>
      </c>
      <c r="E18" s="81" t="s">
        <v>280</v>
      </c>
    </row>
    <row r="19" spans="2:10" x14ac:dyDescent="0.2">
      <c r="B19" s="81" t="s">
        <v>274</v>
      </c>
      <c r="E19" s="81" t="s">
        <v>280</v>
      </c>
    </row>
    <row r="20" spans="2:10" x14ac:dyDescent="0.2">
      <c r="J20" s="86" t="s">
        <v>277</v>
      </c>
    </row>
    <row r="21" spans="2:10" x14ac:dyDescent="0.2">
      <c r="B21" s="81" t="s">
        <v>276</v>
      </c>
      <c r="E21" s="81">
        <v>2021</v>
      </c>
      <c r="J21" s="86" t="s">
        <v>278</v>
      </c>
    </row>
    <row r="22" spans="2:10" x14ac:dyDescent="0.2">
      <c r="B22" s="81" t="s">
        <v>412</v>
      </c>
      <c r="E22" s="81">
        <v>2024</v>
      </c>
    </row>
    <row r="23" spans="2:10" x14ac:dyDescent="0.2">
      <c r="B23" s="81" t="s">
        <v>409</v>
      </c>
      <c r="E23" s="81">
        <v>2026</v>
      </c>
    </row>
  </sheetData>
  <sheetProtection algorithmName="SHA-512" hashValue="FoFjinlRHj4jvSV0qOkCOTJgJa6/Ui+zawaTdXsnMK7QqRQ5WVkopbjKd8AfZw2Sy8aSJAaX6KTGFAR3I71t8A==" saltValue="3mE+qvGWfQEIhcUB72SiDQ==" spinCount="100000" sheet="1" selectLockedCells="1"/>
  <pageMargins left="0.7" right="0.7" top="0.75" bottom="0.75" header="0.3" footer="0.3"/>
  <pageSetup paperSize="9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4F8981-DBBC-4AB7-8498-E01EE874A6A9}">
  <sheetPr codeName="Hoja6"/>
  <dimension ref="B5:M24"/>
  <sheetViews>
    <sheetView showGridLines="0" workbookViewId="0">
      <selection activeCell="D9" sqref="D9"/>
    </sheetView>
  </sheetViews>
  <sheetFormatPr baseColWidth="10" defaultColWidth="11.42578125" defaultRowHeight="12.75" x14ac:dyDescent="0.2"/>
  <cols>
    <col min="1" max="1" width="6" style="46" customWidth="1"/>
    <col min="2" max="2" width="11.5703125" style="46" bestFit="1" customWidth="1"/>
    <col min="3" max="3" width="33.7109375" style="46" customWidth="1"/>
    <col min="4" max="4" width="12.85546875" style="46" bestFit="1" customWidth="1"/>
    <col min="5" max="5" width="5.5703125" style="46" customWidth="1"/>
    <col min="6" max="6" width="33.42578125" style="46" customWidth="1"/>
    <col min="7" max="7" width="11.42578125" style="46"/>
    <col min="8" max="8" width="17.28515625" style="46" customWidth="1"/>
    <col min="9" max="9" width="16.42578125" style="46" customWidth="1"/>
    <col min="10" max="10" width="4.42578125" style="46" customWidth="1"/>
    <col min="11" max="11" width="33.42578125" style="46" customWidth="1"/>
    <col min="12" max="12" width="17.28515625" style="46" customWidth="1"/>
    <col min="13" max="13" width="16.42578125" style="46" customWidth="1"/>
    <col min="14" max="16384" width="11.42578125" style="46"/>
  </cols>
  <sheetData>
    <row r="5" spans="2:13" x14ac:dyDescent="0.2">
      <c r="C5" s="60" t="s">
        <v>107</v>
      </c>
      <c r="D5" s="112"/>
      <c r="F5" s="60" t="s">
        <v>113</v>
      </c>
      <c r="K5" s="60" t="s">
        <v>118</v>
      </c>
    </row>
    <row r="6" spans="2:13" x14ac:dyDescent="0.2">
      <c r="C6" s="60" t="s">
        <v>108</v>
      </c>
      <c r="D6" s="112"/>
      <c r="F6" s="47" t="s">
        <v>114</v>
      </c>
      <c r="G6" s="47" t="s">
        <v>115</v>
      </c>
      <c r="H6" s="47" t="s">
        <v>116</v>
      </c>
      <c r="I6" s="47" t="s">
        <v>158</v>
      </c>
      <c r="K6" s="47" t="s">
        <v>114</v>
      </c>
      <c r="L6" s="47" t="s">
        <v>119</v>
      </c>
      <c r="M6" s="47" t="s">
        <v>117</v>
      </c>
    </row>
    <row r="7" spans="2:13" x14ac:dyDescent="0.2">
      <c r="F7" s="71"/>
      <c r="G7" s="71"/>
      <c r="H7" s="72"/>
      <c r="I7" s="48">
        <f>G7*H7</f>
        <v>0</v>
      </c>
      <c r="K7" s="71"/>
      <c r="L7" s="72"/>
      <c r="M7" s="48">
        <f>L7*12</f>
        <v>0</v>
      </c>
    </row>
    <row r="8" spans="2:13" x14ac:dyDescent="0.2">
      <c r="C8" s="60"/>
      <c r="F8" s="71"/>
      <c r="G8" s="71"/>
      <c r="H8" s="72"/>
      <c r="I8" s="48">
        <f t="shared" ref="I8:I15" si="0">G8*H8</f>
        <v>0</v>
      </c>
      <c r="K8" s="71"/>
      <c r="L8" s="72"/>
      <c r="M8" s="48">
        <f t="shared" ref="M8:M15" si="1">L8*12</f>
        <v>0</v>
      </c>
    </row>
    <row r="9" spans="2:13" x14ac:dyDescent="0.2">
      <c r="C9" s="60" t="s">
        <v>110</v>
      </c>
      <c r="D9" s="113"/>
      <c r="F9" s="71"/>
      <c r="G9" s="71"/>
      <c r="H9" s="72"/>
      <c r="I9" s="48">
        <f t="shared" si="0"/>
        <v>0</v>
      </c>
      <c r="K9" s="71"/>
      <c r="L9" s="72"/>
      <c r="M9" s="48">
        <f t="shared" si="1"/>
        <v>0</v>
      </c>
    </row>
    <row r="10" spans="2:13" x14ac:dyDescent="0.2">
      <c r="F10" s="71"/>
      <c r="G10" s="71"/>
      <c r="H10" s="72"/>
      <c r="I10" s="48">
        <f t="shared" si="0"/>
        <v>0</v>
      </c>
      <c r="K10" s="71"/>
      <c r="L10" s="72"/>
      <c r="M10" s="48">
        <f t="shared" si="1"/>
        <v>0</v>
      </c>
    </row>
    <row r="11" spans="2:13" x14ac:dyDescent="0.2">
      <c r="B11" s="47" t="s">
        <v>109</v>
      </c>
      <c r="C11" s="47" t="s">
        <v>112</v>
      </c>
      <c r="F11" s="71"/>
      <c r="G11" s="71"/>
      <c r="H11" s="72"/>
      <c r="I11" s="48">
        <f t="shared" si="0"/>
        <v>0</v>
      </c>
      <c r="K11" s="71"/>
      <c r="L11" s="72"/>
      <c r="M11" s="48">
        <f t="shared" si="1"/>
        <v>0</v>
      </c>
    </row>
    <row r="12" spans="2:13" x14ac:dyDescent="0.2">
      <c r="B12" s="47">
        <v>1</v>
      </c>
      <c r="C12" s="1">
        <f>D5*(1+$D$9)</f>
        <v>0</v>
      </c>
      <c r="F12" s="71"/>
      <c r="G12" s="71"/>
      <c r="H12" s="72"/>
      <c r="I12" s="48">
        <f t="shared" si="0"/>
        <v>0</v>
      </c>
      <c r="K12" s="71"/>
      <c r="L12" s="72"/>
      <c r="M12" s="48">
        <f t="shared" si="1"/>
        <v>0</v>
      </c>
    </row>
    <row r="13" spans="2:13" x14ac:dyDescent="0.2">
      <c r="B13" s="47">
        <v>2</v>
      </c>
      <c r="C13" s="1">
        <f>C12*(1+$D$9)</f>
        <v>0</v>
      </c>
      <c r="F13" s="71"/>
      <c r="G13" s="71"/>
      <c r="H13" s="72"/>
      <c r="I13" s="48">
        <f t="shared" si="0"/>
        <v>0</v>
      </c>
      <c r="K13" s="71"/>
      <c r="L13" s="72"/>
      <c r="M13" s="48">
        <f t="shared" si="1"/>
        <v>0</v>
      </c>
    </row>
    <row r="14" spans="2:13" x14ac:dyDescent="0.2">
      <c r="B14" s="47">
        <v>3</v>
      </c>
      <c r="C14" s="1">
        <f t="shared" ref="C14:C16" si="2">C13*(1+$D$9)</f>
        <v>0</v>
      </c>
      <c r="F14" s="71"/>
      <c r="G14" s="71"/>
      <c r="H14" s="72"/>
      <c r="I14" s="48">
        <f t="shared" si="0"/>
        <v>0</v>
      </c>
      <c r="K14" s="71"/>
      <c r="L14" s="72"/>
      <c r="M14" s="48">
        <f t="shared" si="1"/>
        <v>0</v>
      </c>
    </row>
    <row r="15" spans="2:13" x14ac:dyDescent="0.2">
      <c r="B15" s="47">
        <v>4</v>
      </c>
      <c r="C15" s="1">
        <f t="shared" si="2"/>
        <v>0</v>
      </c>
      <c r="F15" s="71"/>
      <c r="G15" s="71"/>
      <c r="H15" s="72"/>
      <c r="I15" s="48">
        <f t="shared" si="0"/>
        <v>0</v>
      </c>
      <c r="K15" s="71"/>
      <c r="L15" s="72"/>
      <c r="M15" s="48">
        <f t="shared" si="1"/>
        <v>0</v>
      </c>
    </row>
    <row r="16" spans="2:13" x14ac:dyDescent="0.2">
      <c r="B16" s="47">
        <v>5</v>
      </c>
      <c r="C16" s="1">
        <f t="shared" si="2"/>
        <v>0</v>
      </c>
      <c r="F16" s="127" t="s">
        <v>5</v>
      </c>
      <c r="G16" s="128"/>
      <c r="H16" s="129"/>
      <c r="I16" s="48">
        <f>SUM(I7:I15)</f>
        <v>0</v>
      </c>
      <c r="K16" s="62" t="s">
        <v>5</v>
      </c>
      <c r="L16" s="48">
        <f>SUM(L7:L15)</f>
        <v>0</v>
      </c>
      <c r="M16" s="48">
        <f>SUM(M7:M15)</f>
        <v>0</v>
      </c>
    </row>
    <row r="17" spans="2:6" x14ac:dyDescent="0.2">
      <c r="F17" s="123" t="s">
        <v>406</v>
      </c>
    </row>
    <row r="19" spans="2:6" x14ac:dyDescent="0.2">
      <c r="B19" s="47" t="s">
        <v>109</v>
      </c>
      <c r="C19" s="47" t="s">
        <v>111</v>
      </c>
    </row>
    <row r="20" spans="2:6" x14ac:dyDescent="0.2">
      <c r="B20" s="47">
        <v>1</v>
      </c>
      <c r="C20" s="1">
        <f>D6*(1+$D$9)</f>
        <v>0</v>
      </c>
    </row>
    <row r="21" spans="2:6" x14ac:dyDescent="0.2">
      <c r="B21" s="47">
        <v>2</v>
      </c>
      <c r="C21" s="1">
        <f>C20*(1+$D$9)</f>
        <v>0</v>
      </c>
    </row>
    <row r="22" spans="2:6" x14ac:dyDescent="0.2">
      <c r="B22" s="47">
        <v>3</v>
      </c>
      <c r="C22" s="1">
        <f t="shared" ref="C22:C24" si="3">C21*(1+$D$9)</f>
        <v>0</v>
      </c>
    </row>
    <row r="23" spans="2:6" x14ac:dyDescent="0.2">
      <c r="B23" s="47">
        <v>4</v>
      </c>
      <c r="C23" s="1">
        <f t="shared" si="3"/>
        <v>0</v>
      </c>
    </row>
    <row r="24" spans="2:6" x14ac:dyDescent="0.2">
      <c r="B24" s="47">
        <v>5</v>
      </c>
      <c r="C24" s="1">
        <f t="shared" si="3"/>
        <v>0</v>
      </c>
    </row>
  </sheetData>
  <sheetProtection sheet="1"/>
  <mergeCells count="1">
    <mergeCell ref="F16:H16"/>
  </mergeCells>
  <pageMargins left="0.7" right="0.7" top="0.75" bottom="0.75" header="0.3" footer="0.3"/>
  <pageSetup paperSize="9" orientation="portrait" horizontalDpi="0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1"/>
  <dimension ref="A1:K109"/>
  <sheetViews>
    <sheetView showGridLines="0" zoomScaleNormal="100" workbookViewId="0">
      <selection activeCell="C5" sqref="C5"/>
    </sheetView>
  </sheetViews>
  <sheetFormatPr baseColWidth="10" defaultColWidth="9.7109375" defaultRowHeight="12.75" x14ac:dyDescent="0.2"/>
  <cols>
    <col min="1" max="1" width="7.140625" style="25" customWidth="1"/>
    <col min="2" max="2" width="29.85546875" style="25" customWidth="1"/>
    <col min="3" max="3" width="13.85546875" style="26" customWidth="1"/>
    <col min="4" max="4" width="13.5703125" style="25" customWidth="1"/>
    <col min="5" max="5" width="14.28515625" style="25" customWidth="1"/>
    <col min="6" max="7" width="11.85546875" style="25" customWidth="1"/>
    <col min="8" max="8" width="4.140625" style="25" customWidth="1"/>
    <col min="9" max="9" width="21.42578125" style="25" customWidth="1"/>
    <col min="10" max="10" width="10.42578125" style="25" customWidth="1"/>
    <col min="11" max="11" width="41" style="25" customWidth="1"/>
    <col min="12" max="16384" width="9.7109375" style="25"/>
  </cols>
  <sheetData>
    <row r="1" spans="1:11" x14ac:dyDescent="0.2">
      <c r="F1" s="27"/>
      <c r="K1" s="28"/>
    </row>
    <row r="2" spans="1:11" x14ac:dyDescent="0.2">
      <c r="A2" s="29"/>
      <c r="F2" s="3"/>
      <c r="G2" s="30"/>
      <c r="H2" s="31"/>
    </row>
    <row r="3" spans="1:11" x14ac:dyDescent="0.2">
      <c r="F3" s="32"/>
      <c r="G3" s="30"/>
      <c r="H3" s="30"/>
    </row>
    <row r="4" spans="1:11" x14ac:dyDescent="0.2">
      <c r="B4" s="47"/>
      <c r="C4" s="42" t="s">
        <v>45</v>
      </c>
      <c r="D4" s="47" t="s">
        <v>46</v>
      </c>
      <c r="E4" s="47" t="s">
        <v>47</v>
      </c>
      <c r="F4" s="40" t="s">
        <v>48</v>
      </c>
      <c r="G4" s="40" t="s">
        <v>49</v>
      </c>
      <c r="H4" s="31"/>
    </row>
    <row r="5" spans="1:11" x14ac:dyDescent="0.2">
      <c r="B5" s="53" t="s">
        <v>120</v>
      </c>
      <c r="C5" s="71"/>
      <c r="D5" s="1"/>
      <c r="E5" s="1"/>
      <c r="F5" s="40"/>
      <c r="G5" s="40"/>
      <c r="H5" s="124"/>
    </row>
    <row r="6" spans="1:11" x14ac:dyDescent="0.2">
      <c r="B6" s="53" t="s">
        <v>89</v>
      </c>
      <c r="C6" s="71"/>
      <c r="D6" s="1">
        <f>C6</f>
        <v>0</v>
      </c>
      <c r="E6" s="1">
        <f t="shared" ref="E6:G6" si="0">D6</f>
        <v>0</v>
      </c>
      <c r="F6" s="1">
        <f t="shared" si="0"/>
        <v>0</v>
      </c>
      <c r="G6" s="1">
        <f t="shared" si="0"/>
        <v>0</v>
      </c>
      <c r="H6" s="124"/>
    </row>
    <row r="7" spans="1:11" ht="25.5" x14ac:dyDescent="0.2">
      <c r="A7" s="29"/>
      <c r="B7" s="54" t="s">
        <v>90</v>
      </c>
      <c r="C7" s="74"/>
      <c r="D7" s="74"/>
      <c r="E7" s="74"/>
      <c r="F7" s="74"/>
      <c r="G7" s="74"/>
      <c r="H7" s="31"/>
    </row>
    <row r="8" spans="1:11" x14ac:dyDescent="0.2">
      <c r="A8" s="29"/>
      <c r="B8" s="53" t="s">
        <v>91</v>
      </c>
      <c r="C8" s="1">
        <f>C6*C7</f>
        <v>0</v>
      </c>
      <c r="D8" s="1">
        <f>D6*D7</f>
        <v>0</v>
      </c>
      <c r="E8" s="1">
        <f t="shared" ref="E8:G8" si="1">E6*E7</f>
        <v>0</v>
      </c>
      <c r="F8" s="1">
        <f t="shared" si="1"/>
        <v>0</v>
      </c>
      <c r="G8" s="1">
        <f t="shared" si="1"/>
        <v>0</v>
      </c>
      <c r="H8" s="31"/>
    </row>
    <row r="9" spans="1:11" ht="25.5" x14ac:dyDescent="0.2">
      <c r="A9" s="29"/>
      <c r="B9" s="54" t="s">
        <v>92</v>
      </c>
      <c r="C9" s="49" t="e">
        <f>C8/EST.MERCADOS!C12</f>
        <v>#DIV/0!</v>
      </c>
      <c r="D9" s="49" t="e">
        <f>D8/EST.MERCADOS!C13</f>
        <v>#DIV/0!</v>
      </c>
      <c r="E9" s="49" t="e">
        <f>E8/EST.MERCADOS!C14</f>
        <v>#DIV/0!</v>
      </c>
      <c r="F9" s="49" t="e">
        <f>F8/EST.MERCADOS!C15</f>
        <v>#DIV/0!</v>
      </c>
      <c r="G9" s="49" t="e">
        <f>G8/EST.MERCADOS!C16</f>
        <v>#DIV/0!</v>
      </c>
      <c r="H9" s="33"/>
    </row>
    <row r="10" spans="1:11" x14ac:dyDescent="0.2">
      <c r="A10" s="29"/>
      <c r="B10" s="50"/>
      <c r="C10" s="51"/>
      <c r="D10" s="51"/>
      <c r="E10" s="51"/>
      <c r="F10" s="51"/>
      <c r="G10" s="51"/>
      <c r="H10" s="33"/>
    </row>
    <row r="11" spans="1:11" x14ac:dyDescent="0.2">
      <c r="A11" s="29"/>
      <c r="B11" s="27" t="s">
        <v>121</v>
      </c>
    </row>
    <row r="12" spans="1:11" ht="27.75" customHeight="1" x14ac:dyDescent="0.2">
      <c r="A12" s="29"/>
      <c r="B12" s="55" t="s">
        <v>122</v>
      </c>
      <c r="C12" s="56" t="s">
        <v>124</v>
      </c>
      <c r="D12" s="57" t="s">
        <v>139</v>
      </c>
      <c r="E12" s="57" t="s">
        <v>140</v>
      </c>
      <c r="F12" s="57" t="s">
        <v>141</v>
      </c>
      <c r="G12" s="57" t="s">
        <v>123</v>
      </c>
    </row>
    <row r="13" spans="1:11" x14ac:dyDescent="0.2">
      <c r="A13" s="29"/>
      <c r="B13" s="71"/>
      <c r="C13" s="72"/>
      <c r="D13" s="72"/>
      <c r="E13" s="85" t="s">
        <v>289</v>
      </c>
      <c r="F13" s="71" t="s">
        <v>50</v>
      </c>
      <c r="G13" s="71"/>
      <c r="H13" s="34"/>
    </row>
    <row r="14" spans="1:11" x14ac:dyDescent="0.2">
      <c r="B14" s="71"/>
      <c r="C14" s="72"/>
      <c r="D14" s="72"/>
      <c r="E14" s="85" t="s">
        <v>289</v>
      </c>
      <c r="F14" s="71" t="s">
        <v>50</v>
      </c>
      <c r="G14" s="71"/>
      <c r="H14" s="36"/>
    </row>
    <row r="15" spans="1:11" x14ac:dyDescent="0.2">
      <c r="B15" s="71"/>
      <c r="C15" s="72"/>
      <c r="D15" s="72"/>
      <c r="E15" s="85" t="s">
        <v>289</v>
      </c>
      <c r="F15" s="71" t="s">
        <v>50</v>
      </c>
      <c r="G15" s="71"/>
      <c r="H15" s="36"/>
    </row>
    <row r="16" spans="1:11" x14ac:dyDescent="0.2">
      <c r="B16" s="71"/>
      <c r="C16" s="72"/>
      <c r="D16" s="72"/>
      <c r="E16" s="85" t="s">
        <v>289</v>
      </c>
      <c r="F16" s="71"/>
      <c r="G16" s="71"/>
      <c r="H16" s="36"/>
    </row>
    <row r="17" spans="1:10" x14ac:dyDescent="0.2">
      <c r="B17" s="71"/>
      <c r="C17" s="72"/>
      <c r="D17" s="72"/>
      <c r="E17" s="85" t="s">
        <v>289</v>
      </c>
      <c r="F17" s="71"/>
      <c r="G17" s="71"/>
      <c r="H17" s="36"/>
    </row>
    <row r="18" spans="1:10" x14ac:dyDescent="0.2">
      <c r="B18" s="87" t="s">
        <v>392</v>
      </c>
      <c r="C18" s="72"/>
      <c r="D18" s="72"/>
      <c r="E18" s="85" t="s">
        <v>295</v>
      </c>
      <c r="F18" s="71"/>
      <c r="G18" s="71"/>
      <c r="H18" s="36"/>
    </row>
    <row r="19" spans="1:10" x14ac:dyDescent="0.2">
      <c r="B19" s="71"/>
      <c r="C19" s="72"/>
      <c r="D19" s="72"/>
      <c r="E19" s="85" t="s">
        <v>295</v>
      </c>
      <c r="F19" s="71"/>
      <c r="G19" s="71"/>
      <c r="H19" s="36"/>
    </row>
    <row r="20" spans="1:10" x14ac:dyDescent="0.2">
      <c r="B20" s="71"/>
      <c r="C20" s="72"/>
      <c r="D20" s="72"/>
      <c r="E20" s="85" t="s">
        <v>295</v>
      </c>
      <c r="F20" s="71"/>
      <c r="G20" s="71"/>
      <c r="H20" s="36"/>
    </row>
    <row r="21" spans="1:10" x14ac:dyDescent="0.2">
      <c r="B21" s="71"/>
      <c r="C21" s="72"/>
      <c r="D21" s="72"/>
      <c r="E21" s="85" t="s">
        <v>295</v>
      </c>
      <c r="F21" s="71"/>
      <c r="G21" s="71"/>
      <c r="H21" s="36"/>
    </row>
    <row r="22" spans="1:10" x14ac:dyDescent="0.2">
      <c r="B22" s="71"/>
      <c r="C22" s="72"/>
      <c r="D22" s="72"/>
      <c r="E22" s="85" t="s">
        <v>295</v>
      </c>
      <c r="F22" s="71"/>
      <c r="G22" s="71"/>
      <c r="H22" s="36"/>
    </row>
    <row r="23" spans="1:10" x14ac:dyDescent="0.2">
      <c r="A23" s="29"/>
      <c r="B23" s="87" t="s">
        <v>187</v>
      </c>
      <c r="C23" s="72"/>
      <c r="D23" s="72"/>
      <c r="E23" s="85" t="s">
        <v>142</v>
      </c>
      <c r="F23" s="71" t="s">
        <v>50</v>
      </c>
      <c r="G23" s="71"/>
      <c r="H23" s="36"/>
    </row>
    <row r="24" spans="1:10" x14ac:dyDescent="0.2">
      <c r="A24" s="29"/>
      <c r="B24" s="71"/>
      <c r="C24" s="72"/>
      <c r="D24" s="72"/>
      <c r="E24" s="85" t="s">
        <v>142</v>
      </c>
      <c r="F24" s="71"/>
      <c r="G24" s="71"/>
    </row>
    <row r="25" spans="1:10" x14ac:dyDescent="0.2">
      <c r="A25" s="29"/>
      <c r="B25" s="71"/>
      <c r="C25" s="72"/>
      <c r="D25" s="72"/>
      <c r="E25" s="85" t="s">
        <v>142</v>
      </c>
      <c r="F25" s="71"/>
      <c r="G25" s="71"/>
    </row>
    <row r="26" spans="1:10" x14ac:dyDescent="0.2">
      <c r="A26" s="29"/>
      <c r="B26" s="71"/>
      <c r="C26" s="72"/>
      <c r="D26" s="72"/>
      <c r="E26" s="85" t="s">
        <v>142</v>
      </c>
      <c r="F26" s="71"/>
      <c r="G26" s="71"/>
      <c r="H26" s="34"/>
    </row>
    <row r="27" spans="1:10" x14ac:dyDescent="0.2">
      <c r="A27" s="29"/>
      <c r="B27" s="71"/>
      <c r="C27" s="72"/>
      <c r="D27" s="72"/>
      <c r="E27" s="85" t="s">
        <v>142</v>
      </c>
      <c r="F27" s="71"/>
      <c r="G27" s="71"/>
      <c r="H27" s="29"/>
    </row>
    <row r="28" spans="1:10" x14ac:dyDescent="0.2">
      <c r="B28" s="71"/>
      <c r="C28" s="72"/>
      <c r="D28" s="72"/>
      <c r="E28" s="85" t="s">
        <v>142</v>
      </c>
      <c r="F28" s="71"/>
      <c r="G28" s="71"/>
      <c r="H28" s="29"/>
    </row>
    <row r="29" spans="1:10" x14ac:dyDescent="0.2">
      <c r="G29" s="36"/>
      <c r="H29" s="29"/>
    </row>
    <row r="30" spans="1:10" x14ac:dyDescent="0.2">
      <c r="A30" s="29"/>
      <c r="G30" s="36"/>
      <c r="H30" s="29"/>
    </row>
    <row r="31" spans="1:10" x14ac:dyDescent="0.2">
      <c r="A31" s="29"/>
      <c r="B31" s="27" t="s">
        <v>385</v>
      </c>
    </row>
    <row r="32" spans="1:10" ht="25.5" x14ac:dyDescent="0.2">
      <c r="A32" s="29"/>
      <c r="B32" s="57" t="s">
        <v>152</v>
      </c>
      <c r="C32" s="58" t="s">
        <v>151</v>
      </c>
      <c r="D32" s="58" t="s">
        <v>150</v>
      </c>
      <c r="E32" s="57" t="s">
        <v>153</v>
      </c>
      <c r="F32" s="52"/>
      <c r="G32" s="52"/>
      <c r="I32" s="27" t="s">
        <v>143</v>
      </c>
      <c r="J32" s="26"/>
    </row>
    <row r="33" spans="1:11" x14ac:dyDescent="0.2">
      <c r="A33" s="29"/>
      <c r="B33" s="71"/>
      <c r="C33" s="73"/>
      <c r="D33" s="75"/>
      <c r="E33" s="1">
        <f>D33*$C$8</f>
        <v>0</v>
      </c>
      <c r="F33" s="35"/>
      <c r="G33" s="34"/>
      <c r="H33" s="34"/>
      <c r="I33" s="27" t="s">
        <v>1</v>
      </c>
      <c r="J33" s="26"/>
    </row>
    <row r="34" spans="1:11" x14ac:dyDescent="0.2">
      <c r="A34" s="29"/>
      <c r="B34" s="71"/>
      <c r="C34" s="73"/>
      <c r="D34" s="75"/>
      <c r="E34" s="1">
        <f t="shared" ref="E34:E52" si="2">D34*$C$8</f>
        <v>0</v>
      </c>
      <c r="F34" s="35"/>
      <c r="G34" s="36"/>
      <c r="H34" s="29"/>
      <c r="I34" s="47" t="s">
        <v>3</v>
      </c>
      <c r="J34" s="42" t="s">
        <v>115</v>
      </c>
      <c r="K34" s="47" t="s">
        <v>145</v>
      </c>
    </row>
    <row r="35" spans="1:11" x14ac:dyDescent="0.2">
      <c r="A35" s="29"/>
      <c r="B35" s="71"/>
      <c r="C35" s="73"/>
      <c r="D35" s="75"/>
      <c r="E35" s="1">
        <f t="shared" si="2"/>
        <v>0</v>
      </c>
      <c r="F35" s="35"/>
      <c r="G35" s="36"/>
      <c r="H35" s="29"/>
      <c r="I35" s="71"/>
      <c r="J35" s="71"/>
      <c r="K35" s="71"/>
    </row>
    <row r="36" spans="1:11" x14ac:dyDescent="0.2">
      <c r="A36" s="29"/>
      <c r="B36" s="71"/>
      <c r="C36" s="73"/>
      <c r="D36" s="75"/>
      <c r="E36" s="1">
        <f t="shared" si="2"/>
        <v>0</v>
      </c>
      <c r="F36" s="35"/>
      <c r="G36" s="36"/>
      <c r="H36" s="29"/>
      <c r="I36" s="71"/>
      <c r="J36" s="71"/>
      <c r="K36" s="71"/>
    </row>
    <row r="37" spans="1:11" x14ac:dyDescent="0.2">
      <c r="A37" s="29"/>
      <c r="B37" s="71"/>
      <c r="C37" s="73"/>
      <c r="D37" s="75"/>
      <c r="E37" s="1">
        <f t="shared" si="2"/>
        <v>0</v>
      </c>
      <c r="F37" s="35"/>
      <c r="G37" s="36"/>
      <c r="H37" s="29"/>
      <c r="I37" s="71"/>
      <c r="J37" s="71"/>
      <c r="K37" s="71"/>
    </row>
    <row r="38" spans="1:11" x14ac:dyDescent="0.2">
      <c r="A38" s="29"/>
      <c r="B38" s="71"/>
      <c r="C38" s="73"/>
      <c r="D38" s="75"/>
      <c r="E38" s="1">
        <f t="shared" si="2"/>
        <v>0</v>
      </c>
      <c r="F38" s="35"/>
      <c r="G38" s="36"/>
      <c r="H38" s="29"/>
      <c r="I38" s="71"/>
      <c r="J38" s="71"/>
      <c r="K38" s="71"/>
    </row>
    <row r="39" spans="1:11" x14ac:dyDescent="0.2">
      <c r="B39" s="71"/>
      <c r="C39" s="73"/>
      <c r="D39" s="75"/>
      <c r="E39" s="1">
        <f t="shared" si="2"/>
        <v>0</v>
      </c>
      <c r="F39" s="35"/>
      <c r="G39" s="36"/>
      <c r="H39" s="29"/>
      <c r="I39" s="71"/>
      <c r="J39" s="71"/>
      <c r="K39" s="71"/>
    </row>
    <row r="40" spans="1:11" x14ac:dyDescent="0.2">
      <c r="B40" s="71"/>
      <c r="C40" s="73"/>
      <c r="D40" s="75"/>
      <c r="E40" s="1">
        <f t="shared" si="2"/>
        <v>0</v>
      </c>
      <c r="F40" s="35"/>
      <c r="G40" s="36"/>
      <c r="H40" s="29"/>
      <c r="I40" s="71"/>
      <c r="J40" s="71"/>
      <c r="K40" s="71"/>
    </row>
    <row r="41" spans="1:11" x14ac:dyDescent="0.2">
      <c r="B41" s="71"/>
      <c r="C41" s="73"/>
      <c r="D41" s="75"/>
      <c r="E41" s="1">
        <f t="shared" si="2"/>
        <v>0</v>
      </c>
      <c r="I41" s="71"/>
      <c r="J41" s="71"/>
      <c r="K41" s="71"/>
    </row>
    <row r="42" spans="1:11" x14ac:dyDescent="0.2">
      <c r="B42" s="71"/>
      <c r="C42" s="73"/>
      <c r="D42" s="75"/>
      <c r="E42" s="1">
        <f t="shared" si="2"/>
        <v>0</v>
      </c>
      <c r="I42" s="71"/>
      <c r="J42" s="71"/>
      <c r="K42" s="71"/>
    </row>
    <row r="43" spans="1:11" x14ac:dyDescent="0.2">
      <c r="B43" s="71"/>
      <c r="C43" s="73"/>
      <c r="D43" s="75"/>
      <c r="E43" s="1">
        <f t="shared" si="2"/>
        <v>0</v>
      </c>
      <c r="I43" s="71"/>
      <c r="J43" s="71"/>
      <c r="K43" s="71"/>
    </row>
    <row r="44" spans="1:11" x14ac:dyDescent="0.2">
      <c r="B44" s="71"/>
      <c r="C44" s="73"/>
      <c r="D44" s="75"/>
      <c r="E44" s="1">
        <f t="shared" si="2"/>
        <v>0</v>
      </c>
      <c r="I44" s="71"/>
      <c r="J44" s="71"/>
      <c r="K44" s="71"/>
    </row>
    <row r="45" spans="1:11" x14ac:dyDescent="0.2">
      <c r="B45" s="71"/>
      <c r="C45" s="73"/>
      <c r="D45" s="75"/>
      <c r="E45" s="1">
        <f t="shared" si="2"/>
        <v>0</v>
      </c>
    </row>
    <row r="46" spans="1:11" x14ac:dyDescent="0.2">
      <c r="B46" s="71"/>
      <c r="C46" s="73"/>
      <c r="D46" s="75"/>
      <c r="E46" s="1">
        <f t="shared" si="2"/>
        <v>0</v>
      </c>
      <c r="I46" s="27" t="s">
        <v>148</v>
      </c>
      <c r="J46" s="26"/>
    </row>
    <row r="47" spans="1:11" x14ac:dyDescent="0.2">
      <c r="B47" s="71"/>
      <c r="C47" s="73"/>
      <c r="D47" s="75"/>
      <c r="E47" s="1">
        <f t="shared" si="2"/>
        <v>0</v>
      </c>
      <c r="I47" s="47" t="s">
        <v>3</v>
      </c>
      <c r="J47" s="42" t="s">
        <v>115</v>
      </c>
      <c r="K47" s="47" t="s">
        <v>145</v>
      </c>
    </row>
    <row r="48" spans="1:11" x14ac:dyDescent="0.2">
      <c r="B48" s="71"/>
      <c r="C48" s="73"/>
      <c r="D48" s="75"/>
      <c r="E48" s="1">
        <f t="shared" si="2"/>
        <v>0</v>
      </c>
      <c r="I48" s="71"/>
      <c r="J48" s="71"/>
      <c r="K48" s="71"/>
    </row>
    <row r="49" spans="2:11" x14ac:dyDescent="0.2">
      <c r="B49" s="71"/>
      <c r="C49" s="73"/>
      <c r="D49" s="75"/>
      <c r="E49" s="1">
        <f t="shared" si="2"/>
        <v>0</v>
      </c>
      <c r="I49" s="71"/>
      <c r="J49" s="71"/>
      <c r="K49" s="71"/>
    </row>
    <row r="50" spans="2:11" x14ac:dyDescent="0.2">
      <c r="B50" s="71"/>
      <c r="C50" s="73"/>
      <c r="D50" s="75"/>
      <c r="E50" s="1">
        <f t="shared" si="2"/>
        <v>0</v>
      </c>
      <c r="I50" s="71"/>
      <c r="J50" s="71"/>
      <c r="K50" s="71"/>
    </row>
    <row r="51" spans="2:11" x14ac:dyDescent="0.2">
      <c r="B51" s="71"/>
      <c r="C51" s="73"/>
      <c r="D51" s="75"/>
      <c r="E51" s="1">
        <f t="shared" si="2"/>
        <v>0</v>
      </c>
      <c r="I51" s="71"/>
      <c r="J51" s="71"/>
      <c r="K51" s="71"/>
    </row>
    <row r="52" spans="2:11" x14ac:dyDescent="0.2">
      <c r="B52" s="71"/>
      <c r="C52" s="73"/>
      <c r="D52" s="75"/>
      <c r="E52" s="1">
        <f t="shared" si="2"/>
        <v>0</v>
      </c>
    </row>
    <row r="53" spans="2:11" x14ac:dyDescent="0.2">
      <c r="C53" s="25"/>
    </row>
    <row r="54" spans="2:11" x14ac:dyDescent="0.2">
      <c r="C54" s="25"/>
    </row>
    <row r="56" spans="2:11" x14ac:dyDescent="0.2">
      <c r="B56" s="27" t="s">
        <v>99</v>
      </c>
    </row>
    <row r="57" spans="2:11" ht="25.5" x14ac:dyDescent="0.2">
      <c r="B57" s="57" t="s">
        <v>152</v>
      </c>
      <c r="C57" s="58" t="s">
        <v>151</v>
      </c>
      <c r="D57" s="58" t="s">
        <v>150</v>
      </c>
      <c r="E57" s="57" t="s">
        <v>153</v>
      </c>
      <c r="I57" s="27" t="s">
        <v>78</v>
      </c>
      <c r="J57" s="26"/>
    </row>
    <row r="58" spans="2:11" x14ac:dyDescent="0.2">
      <c r="B58" s="71"/>
      <c r="C58" s="73"/>
      <c r="D58" s="75"/>
      <c r="E58" s="1">
        <f>D58*$C$8</f>
        <v>0</v>
      </c>
      <c r="I58" s="1" t="s">
        <v>3</v>
      </c>
      <c r="J58" s="41" t="s">
        <v>115</v>
      </c>
      <c r="K58" s="1" t="s">
        <v>144</v>
      </c>
    </row>
    <row r="59" spans="2:11" x14ac:dyDescent="0.2">
      <c r="B59" s="71"/>
      <c r="C59" s="73"/>
      <c r="D59" s="75"/>
      <c r="E59" s="1">
        <f t="shared" ref="E59:E67" si="3">D59*$C$8</f>
        <v>0</v>
      </c>
      <c r="I59" s="71"/>
      <c r="J59" s="71"/>
      <c r="K59" s="71"/>
    </row>
    <row r="60" spans="2:11" x14ac:dyDescent="0.2">
      <c r="B60" s="71"/>
      <c r="C60" s="73"/>
      <c r="D60" s="75"/>
      <c r="E60" s="1">
        <f t="shared" si="3"/>
        <v>0</v>
      </c>
      <c r="I60" s="71"/>
      <c r="J60" s="71"/>
      <c r="K60" s="71"/>
    </row>
    <row r="61" spans="2:11" x14ac:dyDescent="0.2">
      <c r="B61" s="71"/>
      <c r="C61" s="73"/>
      <c r="D61" s="75"/>
      <c r="E61" s="1">
        <f t="shared" si="3"/>
        <v>0</v>
      </c>
      <c r="I61" s="71"/>
      <c r="J61" s="71"/>
      <c r="K61" s="71"/>
    </row>
    <row r="62" spans="2:11" x14ac:dyDescent="0.2">
      <c r="B62" s="71"/>
      <c r="C62" s="73"/>
      <c r="D62" s="75"/>
      <c r="E62" s="1">
        <f t="shared" si="3"/>
        <v>0</v>
      </c>
      <c r="I62" s="71"/>
      <c r="J62" s="71"/>
      <c r="K62" s="71"/>
    </row>
    <row r="63" spans="2:11" x14ac:dyDescent="0.2">
      <c r="B63" s="71"/>
      <c r="C63" s="73"/>
      <c r="D63" s="75"/>
      <c r="E63" s="1">
        <f t="shared" si="3"/>
        <v>0</v>
      </c>
      <c r="I63" s="71"/>
      <c r="J63" s="71"/>
      <c r="K63" s="71"/>
    </row>
    <row r="64" spans="2:11" x14ac:dyDescent="0.2">
      <c r="B64" s="71"/>
      <c r="C64" s="73"/>
      <c r="D64" s="75"/>
      <c r="E64" s="1">
        <f t="shared" si="3"/>
        <v>0</v>
      </c>
      <c r="I64" s="71"/>
      <c r="J64" s="71"/>
      <c r="K64" s="71"/>
    </row>
    <row r="65" spans="2:11" x14ac:dyDescent="0.2">
      <c r="B65" s="71"/>
      <c r="C65" s="73"/>
      <c r="D65" s="75"/>
      <c r="E65" s="1">
        <f t="shared" si="3"/>
        <v>0</v>
      </c>
      <c r="I65" s="71"/>
      <c r="J65" s="71"/>
      <c r="K65" s="71"/>
    </row>
    <row r="66" spans="2:11" x14ac:dyDescent="0.2">
      <c r="B66" s="71"/>
      <c r="C66" s="73"/>
      <c r="D66" s="75"/>
      <c r="E66" s="1">
        <f t="shared" si="3"/>
        <v>0</v>
      </c>
      <c r="I66" s="71"/>
      <c r="J66" s="71"/>
      <c r="K66" s="71"/>
    </row>
    <row r="67" spans="2:11" x14ac:dyDescent="0.2">
      <c r="B67" s="71"/>
      <c r="C67" s="73"/>
      <c r="D67" s="75"/>
      <c r="E67" s="1">
        <f t="shared" si="3"/>
        <v>0</v>
      </c>
      <c r="I67" s="71"/>
      <c r="J67" s="71"/>
      <c r="K67" s="71"/>
    </row>
    <row r="68" spans="2:11" x14ac:dyDescent="0.2">
      <c r="B68" s="71"/>
      <c r="C68" s="73"/>
      <c r="D68" s="75"/>
      <c r="E68" s="1">
        <f t="shared" ref="E68:E72" si="4">D68*$C$8</f>
        <v>0</v>
      </c>
      <c r="I68" s="71"/>
      <c r="J68" s="71"/>
      <c r="K68" s="71"/>
    </row>
    <row r="69" spans="2:11" x14ac:dyDescent="0.2">
      <c r="B69" s="71"/>
      <c r="C69" s="73"/>
      <c r="D69" s="75"/>
      <c r="E69" s="1">
        <f t="shared" si="4"/>
        <v>0</v>
      </c>
      <c r="I69" s="71"/>
      <c r="J69" s="71"/>
      <c r="K69" s="71"/>
    </row>
    <row r="70" spans="2:11" x14ac:dyDescent="0.2">
      <c r="B70" s="71"/>
      <c r="C70" s="73"/>
      <c r="D70" s="75"/>
      <c r="E70" s="1">
        <f t="shared" si="4"/>
        <v>0</v>
      </c>
      <c r="I70" s="71"/>
      <c r="J70" s="71"/>
      <c r="K70" s="71"/>
    </row>
    <row r="71" spans="2:11" x14ac:dyDescent="0.2">
      <c r="B71" s="71"/>
      <c r="C71" s="73"/>
      <c r="D71" s="75"/>
      <c r="E71" s="1">
        <f t="shared" si="4"/>
        <v>0</v>
      </c>
      <c r="I71" s="71"/>
      <c r="J71" s="71"/>
      <c r="K71" s="71"/>
    </row>
    <row r="72" spans="2:11" x14ac:dyDescent="0.2">
      <c r="B72" s="71"/>
      <c r="C72" s="73"/>
      <c r="D72" s="75"/>
      <c r="E72" s="1">
        <f t="shared" si="4"/>
        <v>0</v>
      </c>
      <c r="I72" s="71"/>
      <c r="J72" s="71"/>
      <c r="K72" s="71"/>
    </row>
    <row r="73" spans="2:11" x14ac:dyDescent="0.2">
      <c r="C73" s="25"/>
      <c r="I73" s="71"/>
      <c r="J73" s="71"/>
      <c r="K73" s="71"/>
    </row>
    <row r="74" spans="2:11" x14ac:dyDescent="0.2">
      <c r="C74" s="25"/>
    </row>
    <row r="75" spans="2:11" x14ac:dyDescent="0.2">
      <c r="B75" s="27" t="s">
        <v>376</v>
      </c>
      <c r="C75" s="25"/>
      <c r="I75" s="27" t="s">
        <v>380</v>
      </c>
      <c r="J75" s="26"/>
    </row>
    <row r="76" spans="2:11" x14ac:dyDescent="0.2">
      <c r="B76"/>
      <c r="C76"/>
      <c r="D76" s="130" t="s">
        <v>369</v>
      </c>
      <c r="E76" s="130"/>
      <c r="F76" s="130"/>
      <c r="I76" s="1" t="s">
        <v>3</v>
      </c>
      <c r="J76" s="41" t="s">
        <v>115</v>
      </c>
      <c r="K76" s="1" t="s">
        <v>144</v>
      </c>
    </row>
    <row r="77" spans="2:11" x14ac:dyDescent="0.2">
      <c r="B77" s="7" t="s">
        <v>359</v>
      </c>
      <c r="C77" s="7" t="s">
        <v>360</v>
      </c>
      <c r="D77" s="109" t="s">
        <v>361</v>
      </c>
      <c r="E77" s="109" t="s">
        <v>362</v>
      </c>
      <c r="F77" s="109" t="s">
        <v>363</v>
      </c>
      <c r="I77" s="71"/>
      <c r="J77" s="71"/>
      <c r="K77" s="71"/>
    </row>
    <row r="78" spans="2:11" x14ac:dyDescent="0.2">
      <c r="B78" s="109" t="s">
        <v>364</v>
      </c>
      <c r="C78" s="73">
        <v>0.15</v>
      </c>
      <c r="D78" s="110"/>
      <c r="E78" s="110"/>
      <c r="F78" s="110"/>
      <c r="I78" s="71"/>
      <c r="J78" s="71"/>
      <c r="K78" s="71"/>
    </row>
    <row r="79" spans="2:11" x14ac:dyDescent="0.2">
      <c r="B79" s="109" t="s">
        <v>365</v>
      </c>
      <c r="C79" s="73">
        <v>0.25</v>
      </c>
      <c r="D79" s="110"/>
      <c r="E79" s="110"/>
      <c r="F79" s="110"/>
      <c r="I79" s="71"/>
      <c r="J79" s="71"/>
      <c r="K79" s="71"/>
    </row>
    <row r="80" spans="2:11" x14ac:dyDescent="0.2">
      <c r="B80" s="109" t="s">
        <v>366</v>
      </c>
      <c r="C80" s="73">
        <v>0.2</v>
      </c>
      <c r="D80" s="110"/>
      <c r="E80" s="110"/>
      <c r="F80" s="110"/>
      <c r="I80" s="71"/>
      <c r="J80" s="71"/>
      <c r="K80" s="71"/>
    </row>
    <row r="81" spans="2:11" x14ac:dyDescent="0.2">
      <c r="B81" s="109" t="s">
        <v>367</v>
      </c>
      <c r="C81" s="73">
        <v>0.1</v>
      </c>
      <c r="D81" s="110"/>
      <c r="E81" s="110"/>
      <c r="F81" s="110"/>
      <c r="I81" s="71"/>
      <c r="J81" s="71"/>
      <c r="K81" s="71"/>
    </row>
    <row r="82" spans="2:11" x14ac:dyDescent="0.2">
      <c r="B82" s="109" t="s">
        <v>368</v>
      </c>
      <c r="C82" s="73">
        <v>0.3</v>
      </c>
      <c r="D82" s="110"/>
      <c r="E82" s="110"/>
      <c r="F82" s="110"/>
      <c r="I82" s="71"/>
      <c r="J82" s="71"/>
      <c r="K82" s="71"/>
    </row>
    <row r="83" spans="2:11" x14ac:dyDescent="0.2">
      <c r="B83" s="109"/>
      <c r="C83" s="73"/>
      <c r="D83" s="110"/>
      <c r="E83" s="110"/>
      <c r="F83" s="110"/>
      <c r="I83" s="71"/>
      <c r="J83" s="71"/>
      <c r="K83" s="71"/>
    </row>
    <row r="84" spans="2:11" x14ac:dyDescent="0.2">
      <c r="B84" s="109"/>
      <c r="C84" s="73"/>
      <c r="D84" s="110"/>
      <c r="E84" s="110"/>
      <c r="F84" s="110"/>
      <c r="I84" s="71"/>
      <c r="J84" s="71"/>
      <c r="K84" s="71"/>
    </row>
    <row r="85" spans="2:11" x14ac:dyDescent="0.2">
      <c r="B85" s="109"/>
      <c r="C85" s="73"/>
      <c r="D85" s="110"/>
      <c r="E85" s="110"/>
      <c r="F85" s="110"/>
      <c r="I85" s="71"/>
      <c r="J85" s="71"/>
      <c r="K85" s="71"/>
    </row>
    <row r="86" spans="2:11" x14ac:dyDescent="0.2">
      <c r="B86" s="109"/>
      <c r="C86" s="73"/>
      <c r="D86" s="110"/>
      <c r="E86" s="110"/>
      <c r="F86" s="110"/>
      <c r="I86" s="71"/>
      <c r="J86" s="71"/>
      <c r="K86" s="71"/>
    </row>
    <row r="87" spans="2:11" x14ac:dyDescent="0.2">
      <c r="B87" s="109"/>
      <c r="C87" s="73"/>
      <c r="D87" s="110"/>
      <c r="E87" s="110"/>
      <c r="F87" s="110"/>
      <c r="I87" s="71"/>
      <c r="J87" s="71"/>
      <c r="K87" s="71"/>
    </row>
    <row r="88" spans="2:11" x14ac:dyDescent="0.2">
      <c r="B88" s="7" t="s">
        <v>0</v>
      </c>
      <c r="C88" s="107">
        <f>SUM(C78:C87)</f>
        <v>1</v>
      </c>
      <c r="D88" s="111">
        <f>$C$78*D78+$C$79*D79+$C$80*D80+$C$81*D81+$C$82*D82+$C$83*D83+$C$84*D84+$C$85*D85+$C$86*D86+$C$87*D87</f>
        <v>0</v>
      </c>
      <c r="E88" s="111">
        <f>$C$78*E78+$C$79*E79+$C$80*E80+$C$81*E81+$C$82*E82+$C$83*E83+$C$84*E84+$C$85*E85+$C$86*E86+$C$87*E87</f>
        <v>0</v>
      </c>
      <c r="F88" s="111">
        <f t="shared" ref="F88" si="5">$C$78*F78+$C$79*F79+$C$80*F80+$C$81*F81+$C$82*F82+$C$83*F83+$C$84*F84+$C$85*F85+$C$86*F86+$C$87*F87</f>
        <v>0</v>
      </c>
      <c r="I88" s="71"/>
      <c r="J88" s="71"/>
      <c r="K88" s="71"/>
    </row>
    <row r="89" spans="2:11" x14ac:dyDescent="0.2">
      <c r="I89" s="71"/>
      <c r="J89" s="71"/>
      <c r="K89" s="71"/>
    </row>
    <row r="90" spans="2:11" x14ac:dyDescent="0.2">
      <c r="I90" s="71"/>
      <c r="J90" s="71"/>
      <c r="K90" s="71"/>
    </row>
    <row r="91" spans="2:11" x14ac:dyDescent="0.2">
      <c r="I91" s="71"/>
      <c r="J91" s="71"/>
      <c r="K91" s="71"/>
    </row>
    <row r="92" spans="2:11" x14ac:dyDescent="0.2">
      <c r="I92" s="71"/>
      <c r="J92" s="71"/>
      <c r="K92" s="71"/>
    </row>
    <row r="93" spans="2:11" x14ac:dyDescent="0.2">
      <c r="I93" s="71"/>
      <c r="J93" s="71"/>
      <c r="K93" s="71"/>
    </row>
    <row r="94" spans="2:11" x14ac:dyDescent="0.2">
      <c r="I94" s="71"/>
      <c r="J94" s="71"/>
      <c r="K94" s="71"/>
    </row>
    <row r="95" spans="2:11" x14ac:dyDescent="0.2">
      <c r="I95" s="71"/>
      <c r="J95" s="71"/>
      <c r="K95" s="71"/>
    </row>
    <row r="96" spans="2:11" x14ac:dyDescent="0.2">
      <c r="I96" s="71"/>
      <c r="J96" s="71"/>
      <c r="K96" s="71"/>
    </row>
    <row r="98" spans="9:11" x14ac:dyDescent="0.2">
      <c r="I98" s="27" t="s">
        <v>379</v>
      </c>
    </row>
    <row r="99" spans="9:11" x14ac:dyDescent="0.2">
      <c r="I99" s="1" t="s">
        <v>3</v>
      </c>
      <c r="J99" s="41" t="s">
        <v>115</v>
      </c>
      <c r="K99" s="1" t="s">
        <v>144</v>
      </c>
    </row>
    <row r="100" spans="9:11" x14ac:dyDescent="0.2">
      <c r="I100" s="71"/>
      <c r="J100" s="71"/>
      <c r="K100" s="71"/>
    </row>
    <row r="101" spans="9:11" x14ac:dyDescent="0.2">
      <c r="I101" s="71"/>
      <c r="J101" s="71"/>
      <c r="K101" s="71"/>
    </row>
    <row r="102" spans="9:11" x14ac:dyDescent="0.2">
      <c r="I102" s="71"/>
      <c r="J102" s="71"/>
      <c r="K102" s="71"/>
    </row>
    <row r="103" spans="9:11" x14ac:dyDescent="0.2">
      <c r="I103" s="71"/>
      <c r="J103" s="71"/>
      <c r="K103" s="71"/>
    </row>
    <row r="104" spans="9:11" x14ac:dyDescent="0.2">
      <c r="I104" s="71"/>
      <c r="J104" s="71"/>
      <c r="K104" s="71"/>
    </row>
    <row r="105" spans="9:11" x14ac:dyDescent="0.2">
      <c r="I105" s="71"/>
      <c r="J105" s="71"/>
      <c r="K105" s="71"/>
    </row>
    <row r="106" spans="9:11" x14ac:dyDescent="0.2">
      <c r="I106" s="71"/>
      <c r="J106" s="71"/>
      <c r="K106" s="71"/>
    </row>
    <row r="107" spans="9:11" x14ac:dyDescent="0.2">
      <c r="I107" s="71"/>
      <c r="J107" s="71"/>
      <c r="K107" s="71"/>
    </row>
    <row r="108" spans="9:11" x14ac:dyDescent="0.2">
      <c r="I108" s="71"/>
      <c r="J108" s="71"/>
      <c r="K108" s="71"/>
    </row>
    <row r="109" spans="9:11" x14ac:dyDescent="0.2">
      <c r="I109" s="71"/>
      <c r="J109" s="71"/>
      <c r="K109" s="71"/>
    </row>
  </sheetData>
  <sheetProtection sheet="1"/>
  <mergeCells count="1">
    <mergeCell ref="D76:F76"/>
  </mergeCells>
  <phoneticPr fontId="6" type="noConversion"/>
  <pageMargins left="0.7" right="0.7" top="0.75" bottom="0.75" header="0.3" footer="0.3"/>
  <pageSetup paperSize="9" orientation="portrait" horizontalDpi="0" verticalDpi="0" r:id="rId1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2"/>
  <dimension ref="A1:J83"/>
  <sheetViews>
    <sheetView showGridLines="0" topLeftCell="A43" zoomScale="130" zoomScaleNormal="130" workbookViewId="0">
      <selection activeCell="H66" sqref="H66"/>
    </sheetView>
  </sheetViews>
  <sheetFormatPr baseColWidth="10" defaultColWidth="11.42578125" defaultRowHeight="12.75" x14ac:dyDescent="0.2"/>
  <cols>
    <col min="1" max="1" width="25.140625" style="9" customWidth="1"/>
    <col min="2" max="2" width="10" style="4" customWidth="1"/>
    <col min="3" max="4" width="16.28515625" style="8" customWidth="1"/>
    <col min="5" max="5" width="21.28515625" style="8" customWidth="1"/>
    <col min="6" max="6" width="24.140625" style="8" customWidth="1"/>
    <col min="7" max="7" width="7" style="4" customWidth="1"/>
    <col min="8" max="8" width="35.42578125" style="4" customWidth="1"/>
    <col min="9" max="9" width="16.5703125" style="4" bestFit="1" customWidth="1"/>
    <col min="10" max="10" width="14.7109375" style="4" customWidth="1"/>
    <col min="11" max="11" width="17.5703125" style="4" customWidth="1"/>
    <col min="12" max="16384" width="11.42578125" style="4"/>
  </cols>
  <sheetData>
    <row r="1" spans="1:10" x14ac:dyDescent="0.2">
      <c r="A1" s="27" t="s">
        <v>143</v>
      </c>
      <c r="B1" s="26"/>
      <c r="H1" s="3" t="s">
        <v>2</v>
      </c>
    </row>
    <row r="2" spans="1:10" x14ac:dyDescent="0.2">
      <c r="A2" s="27" t="s">
        <v>1</v>
      </c>
      <c r="B2" s="26"/>
      <c r="C2" s="59"/>
      <c r="D2" s="59"/>
      <c r="E2" s="59"/>
      <c r="F2" s="59"/>
      <c r="H2" s="47" t="s">
        <v>3</v>
      </c>
      <c r="I2" s="6" t="s">
        <v>155</v>
      </c>
    </row>
    <row r="3" spans="1:10" x14ac:dyDescent="0.2">
      <c r="A3" s="47" t="s">
        <v>3</v>
      </c>
      <c r="B3" s="42" t="s">
        <v>115</v>
      </c>
      <c r="C3" s="5" t="s">
        <v>116</v>
      </c>
      <c r="D3" s="6" t="s">
        <v>155</v>
      </c>
      <c r="E3" s="6" t="s">
        <v>156</v>
      </c>
      <c r="F3" s="6" t="s">
        <v>157</v>
      </c>
      <c r="H3" s="7" t="s">
        <v>1</v>
      </c>
      <c r="I3" s="48">
        <f>D14</f>
        <v>0</v>
      </c>
    </row>
    <row r="4" spans="1:10" x14ac:dyDescent="0.2">
      <c r="A4" s="1">
        <f>EST.TÉCNICO!I35</f>
        <v>0</v>
      </c>
      <c r="B4" s="1">
        <f>EST.TÉCNICO!J35</f>
        <v>0</v>
      </c>
      <c r="C4" s="72"/>
      <c r="D4" s="48">
        <f>B4*C4</f>
        <v>0</v>
      </c>
      <c r="E4" s="48">
        <f>IF(D4="",0,(D4-F4)/5)</f>
        <v>0</v>
      </c>
      <c r="F4" s="72"/>
      <c r="H4" s="7" t="s">
        <v>148</v>
      </c>
      <c r="I4" s="48">
        <f>D23</f>
        <v>0</v>
      </c>
    </row>
    <row r="5" spans="1:10" x14ac:dyDescent="0.2">
      <c r="A5" s="1">
        <f>EST.TÉCNICO!I36</f>
        <v>0</v>
      </c>
      <c r="B5" s="1">
        <f>EST.TÉCNICO!J36</f>
        <v>0</v>
      </c>
      <c r="C5" s="72"/>
      <c r="D5" s="48">
        <f t="shared" ref="D5:D12" si="0">B5*C5</f>
        <v>0</v>
      </c>
      <c r="E5" s="48">
        <f t="shared" ref="E5:E13" si="1">IF(D5="",0,(D5-F5)/5)</f>
        <v>0</v>
      </c>
      <c r="F5" s="72"/>
      <c r="H5" s="7" t="s">
        <v>78</v>
      </c>
      <c r="I5" s="48">
        <f>D43</f>
        <v>0</v>
      </c>
    </row>
    <row r="6" spans="1:10" x14ac:dyDescent="0.2">
      <c r="A6" s="1">
        <f>EST.TÉCNICO!I37</f>
        <v>0</v>
      </c>
      <c r="B6" s="1">
        <f>EST.TÉCNICO!J37</f>
        <v>0</v>
      </c>
      <c r="C6" s="72"/>
      <c r="D6" s="48">
        <f t="shared" si="0"/>
        <v>0</v>
      </c>
      <c r="E6" s="48">
        <f t="shared" si="1"/>
        <v>0</v>
      </c>
      <c r="F6" s="72"/>
      <c r="H6" s="7" t="s">
        <v>371</v>
      </c>
      <c r="I6" s="72">
        <v>0</v>
      </c>
    </row>
    <row r="7" spans="1:10" x14ac:dyDescent="0.2">
      <c r="A7" s="1">
        <f>EST.TÉCNICO!I38</f>
        <v>0</v>
      </c>
      <c r="B7" s="1">
        <f>EST.TÉCNICO!J38</f>
        <v>0</v>
      </c>
      <c r="C7" s="72"/>
      <c r="D7" s="48">
        <f t="shared" si="0"/>
        <v>0</v>
      </c>
      <c r="E7" s="48">
        <f t="shared" si="1"/>
        <v>0</v>
      </c>
      <c r="F7" s="72"/>
      <c r="H7" s="7" t="s">
        <v>372</v>
      </c>
      <c r="I7" s="72">
        <v>0</v>
      </c>
      <c r="J7" s="112">
        <v>0</v>
      </c>
    </row>
    <row r="8" spans="1:10" x14ac:dyDescent="0.2">
      <c r="A8" s="1">
        <f>EST.TÉCNICO!I39</f>
        <v>0</v>
      </c>
      <c r="B8" s="1">
        <f>EST.TÉCNICO!J39</f>
        <v>0</v>
      </c>
      <c r="C8" s="72"/>
      <c r="D8" s="48">
        <f t="shared" si="0"/>
        <v>0</v>
      </c>
      <c r="E8" s="48">
        <f t="shared" si="1"/>
        <v>0</v>
      </c>
      <c r="F8" s="72"/>
      <c r="H8" s="7" t="s">
        <v>381</v>
      </c>
      <c r="I8" s="48">
        <f>D68</f>
        <v>0</v>
      </c>
    </row>
    <row r="9" spans="1:10" x14ac:dyDescent="0.2">
      <c r="A9" s="1">
        <f>EST.TÉCNICO!I40</f>
        <v>0</v>
      </c>
      <c r="B9" s="1">
        <f>EST.TÉCNICO!J40</f>
        <v>0</v>
      </c>
      <c r="C9" s="72"/>
      <c r="D9" s="48">
        <f t="shared" si="0"/>
        <v>0</v>
      </c>
      <c r="E9" s="48">
        <f t="shared" si="1"/>
        <v>0</v>
      </c>
      <c r="F9" s="72"/>
      <c r="H9" s="7" t="s">
        <v>379</v>
      </c>
      <c r="I9" s="48">
        <f>D83</f>
        <v>0</v>
      </c>
    </row>
    <row r="10" spans="1:10" x14ac:dyDescent="0.2">
      <c r="A10" s="1">
        <f>EST.TÉCNICO!I41</f>
        <v>0</v>
      </c>
      <c r="B10" s="1">
        <f>EST.TÉCNICO!J41</f>
        <v>0</v>
      </c>
      <c r="C10" s="72"/>
      <c r="D10" s="48">
        <f t="shared" si="0"/>
        <v>0</v>
      </c>
      <c r="E10" s="48">
        <f t="shared" si="1"/>
        <v>0</v>
      </c>
      <c r="F10" s="72"/>
      <c r="H10" s="7" t="s">
        <v>384</v>
      </c>
      <c r="I10" s="72">
        <v>0</v>
      </c>
    </row>
    <row r="11" spans="1:10" x14ac:dyDescent="0.2">
      <c r="A11" s="1">
        <f>EST.TÉCNICO!I42</f>
        <v>0</v>
      </c>
      <c r="B11" s="1">
        <f>EST.TÉCNICO!J42</f>
        <v>0</v>
      </c>
      <c r="C11" s="72"/>
      <c r="D11" s="48">
        <f t="shared" si="0"/>
        <v>0</v>
      </c>
      <c r="E11" s="48">
        <f t="shared" si="1"/>
        <v>0</v>
      </c>
      <c r="F11" s="72"/>
      <c r="H11" s="44" t="s">
        <v>165</v>
      </c>
      <c r="I11" s="48">
        <f>SUM(I3:I10)</f>
        <v>0</v>
      </c>
    </row>
    <row r="12" spans="1:10" x14ac:dyDescent="0.2">
      <c r="A12" s="1">
        <f>EST.TÉCNICO!I43</f>
        <v>0</v>
      </c>
      <c r="B12" s="1">
        <f>EST.TÉCNICO!J43</f>
        <v>0</v>
      </c>
      <c r="C12" s="72"/>
      <c r="D12" s="48">
        <f t="shared" si="0"/>
        <v>0</v>
      </c>
      <c r="E12" s="48">
        <f t="shared" si="1"/>
        <v>0</v>
      </c>
      <c r="F12" s="72"/>
      <c r="H12"/>
      <c r="I12" s="37"/>
    </row>
    <row r="13" spans="1:10" x14ac:dyDescent="0.2">
      <c r="A13" s="1">
        <f>EST.TÉCNICO!I44</f>
        <v>0</v>
      </c>
      <c r="B13" s="1">
        <f>EST.TÉCNICO!J44</f>
        <v>0</v>
      </c>
      <c r="C13" s="72"/>
      <c r="D13" s="48">
        <f>B13*C13</f>
        <v>0</v>
      </c>
      <c r="E13" s="48">
        <f t="shared" si="1"/>
        <v>0</v>
      </c>
      <c r="F13" s="72"/>
      <c r="H13"/>
      <c r="I13" s="37"/>
    </row>
    <row r="14" spans="1:10" x14ac:dyDescent="0.2">
      <c r="A14" s="127" t="s">
        <v>0</v>
      </c>
      <c r="B14" s="128"/>
      <c r="C14" s="129"/>
      <c r="D14" s="48">
        <f>SUM(D4:D13)</f>
        <v>0</v>
      </c>
      <c r="E14" s="48">
        <f>SUM(E4:E13)</f>
        <v>0</v>
      </c>
      <c r="F14" s="48">
        <f>SUM(F4:F13)</f>
        <v>0</v>
      </c>
      <c r="H14"/>
      <c r="I14" s="37"/>
    </row>
    <row r="15" spans="1:10" x14ac:dyDescent="0.2">
      <c r="H15"/>
    </row>
    <row r="16" spans="1:10" x14ac:dyDescent="0.2">
      <c r="H16"/>
    </row>
    <row r="17" spans="1:9" x14ac:dyDescent="0.2">
      <c r="A17" s="27" t="s">
        <v>148</v>
      </c>
      <c r="B17" s="26"/>
      <c r="C17" s="59"/>
      <c r="D17" s="59"/>
      <c r="E17" s="59"/>
      <c r="F17" s="59"/>
      <c r="H17"/>
    </row>
    <row r="18" spans="1:9" x14ac:dyDescent="0.2">
      <c r="A18" s="47" t="s">
        <v>3</v>
      </c>
      <c r="B18" s="42" t="s">
        <v>115</v>
      </c>
      <c r="C18" s="5" t="s">
        <v>116</v>
      </c>
      <c r="D18" s="6" t="s">
        <v>155</v>
      </c>
      <c r="E18" s="6" t="s">
        <v>156</v>
      </c>
      <c r="F18" s="6" t="s">
        <v>157</v>
      </c>
      <c r="H18" s="3" t="s">
        <v>4</v>
      </c>
    </row>
    <row r="19" spans="1:9" x14ac:dyDescent="0.2">
      <c r="A19" s="1">
        <f>EST.TÉCNICO!I48</f>
        <v>0</v>
      </c>
      <c r="B19" s="1">
        <f>EST.TÉCNICO!J48</f>
        <v>0</v>
      </c>
      <c r="C19" s="72"/>
      <c r="D19" s="48">
        <f t="shared" ref="D19:D22" si="2">B19*C19</f>
        <v>0</v>
      </c>
      <c r="E19" s="48">
        <f t="shared" ref="E19:E22" si="3">IF(D19="",0,(D19-F19)/5)</f>
        <v>0</v>
      </c>
      <c r="F19" s="72"/>
      <c r="H19" s="47" t="s">
        <v>154</v>
      </c>
      <c r="I19" s="6" t="s">
        <v>158</v>
      </c>
    </row>
    <row r="20" spans="1:9" x14ac:dyDescent="0.2">
      <c r="A20" s="1">
        <f>EST.TÉCNICO!I49</f>
        <v>0</v>
      </c>
      <c r="B20" s="1">
        <f>EST.TÉCNICO!J49</f>
        <v>0</v>
      </c>
      <c r="C20" s="72"/>
      <c r="D20" s="48">
        <f t="shared" si="2"/>
        <v>0</v>
      </c>
      <c r="E20" s="48">
        <f t="shared" si="3"/>
        <v>0</v>
      </c>
      <c r="F20" s="72"/>
      <c r="H20" s="7" t="s">
        <v>93</v>
      </c>
      <c r="I20" s="72">
        <v>0</v>
      </c>
    </row>
    <row r="21" spans="1:9" x14ac:dyDescent="0.2">
      <c r="A21" s="1">
        <f>EST.TÉCNICO!I50</f>
        <v>0</v>
      </c>
      <c r="B21" s="1">
        <f>EST.TÉCNICO!J50</f>
        <v>0</v>
      </c>
      <c r="C21" s="72"/>
      <c r="D21" s="48">
        <f t="shared" si="2"/>
        <v>0</v>
      </c>
      <c r="E21" s="48">
        <f t="shared" si="3"/>
        <v>0</v>
      </c>
      <c r="F21" s="72"/>
      <c r="H21" s="7" t="s">
        <v>94</v>
      </c>
      <c r="I21" s="72">
        <v>0</v>
      </c>
    </row>
    <row r="22" spans="1:9" x14ac:dyDescent="0.2">
      <c r="A22" s="1">
        <f>EST.TÉCNICO!I51</f>
        <v>0</v>
      </c>
      <c r="B22" s="1">
        <f>EST.TÉCNICO!J51</f>
        <v>0</v>
      </c>
      <c r="C22" s="72"/>
      <c r="D22" s="48">
        <f t="shared" si="2"/>
        <v>0</v>
      </c>
      <c r="E22" s="48">
        <f t="shared" si="3"/>
        <v>0</v>
      </c>
      <c r="F22" s="72"/>
      <c r="H22" s="7" t="s">
        <v>95</v>
      </c>
      <c r="I22" s="72">
        <v>0</v>
      </c>
    </row>
    <row r="23" spans="1:9" x14ac:dyDescent="0.2">
      <c r="A23" s="127" t="s">
        <v>0</v>
      </c>
      <c r="B23" s="128"/>
      <c r="C23" s="129"/>
      <c r="D23" s="48">
        <f>SUM(D19:D22)</f>
        <v>0</v>
      </c>
      <c r="E23" s="48">
        <f t="shared" ref="E23:F23" si="4">SUM(E19:E22)</f>
        <v>0</v>
      </c>
      <c r="F23" s="48">
        <f t="shared" si="4"/>
        <v>0</v>
      </c>
      <c r="H23" s="7" t="s">
        <v>96</v>
      </c>
      <c r="I23" s="72">
        <v>0</v>
      </c>
    </row>
    <row r="24" spans="1:9" x14ac:dyDescent="0.2">
      <c r="H24" s="7" t="s">
        <v>97</v>
      </c>
      <c r="I24" s="72">
        <v>0</v>
      </c>
    </row>
    <row r="25" spans="1:9" x14ac:dyDescent="0.2">
      <c r="H25" s="7" t="s">
        <v>159</v>
      </c>
      <c r="I25" s="72">
        <v>0</v>
      </c>
    </row>
    <row r="26" spans="1:9" x14ac:dyDescent="0.2">
      <c r="A26" s="27" t="s">
        <v>78</v>
      </c>
      <c r="B26" s="26"/>
      <c r="D26" s="37"/>
      <c r="E26" s="37"/>
      <c r="F26" s="37"/>
      <c r="H26" s="7" t="s">
        <v>161</v>
      </c>
      <c r="I26" s="72">
        <v>0</v>
      </c>
    </row>
    <row r="27" spans="1:9" x14ac:dyDescent="0.2">
      <c r="A27" s="1" t="s">
        <v>3</v>
      </c>
      <c r="B27" s="42" t="s">
        <v>115</v>
      </c>
      <c r="C27" s="5" t="s">
        <v>116</v>
      </c>
      <c r="D27" s="6" t="s">
        <v>155</v>
      </c>
      <c r="E27" s="6" t="s">
        <v>156</v>
      </c>
      <c r="F27" s="6" t="s">
        <v>157</v>
      </c>
      <c r="H27" s="7" t="s">
        <v>160</v>
      </c>
      <c r="I27" s="72">
        <v>0</v>
      </c>
    </row>
    <row r="28" spans="1:9" x14ac:dyDescent="0.2">
      <c r="A28" s="1">
        <f>EST.TÉCNICO!I59</f>
        <v>0</v>
      </c>
      <c r="B28" s="1">
        <f>EST.TÉCNICO!J59</f>
        <v>0</v>
      </c>
      <c r="C28" s="72"/>
      <c r="D28" s="48">
        <f t="shared" ref="D28:D42" si="5">B28*C28</f>
        <v>0</v>
      </c>
      <c r="E28" s="48">
        <f t="shared" ref="E28:E42" si="6">IF(D28="",0,(D28-F28)/5)</f>
        <v>0</v>
      </c>
      <c r="F28" s="72"/>
      <c r="H28" s="7" t="s">
        <v>103</v>
      </c>
      <c r="I28" s="72">
        <v>0</v>
      </c>
    </row>
    <row r="29" spans="1:9" x14ac:dyDescent="0.2">
      <c r="A29" s="1">
        <f>EST.TÉCNICO!I60</f>
        <v>0</v>
      </c>
      <c r="B29" s="1">
        <f>EST.TÉCNICO!J60</f>
        <v>0</v>
      </c>
      <c r="C29" s="72"/>
      <c r="D29" s="48">
        <f t="shared" si="5"/>
        <v>0</v>
      </c>
      <c r="E29" s="48">
        <f t="shared" si="6"/>
        <v>0</v>
      </c>
      <c r="F29" s="72"/>
      <c r="H29" s="7" t="s">
        <v>102</v>
      </c>
      <c r="I29" s="72">
        <v>0</v>
      </c>
    </row>
    <row r="30" spans="1:9" x14ac:dyDescent="0.2">
      <c r="A30" s="1">
        <f>EST.TÉCNICO!I61</f>
        <v>0</v>
      </c>
      <c r="B30" s="1">
        <f>EST.TÉCNICO!J61</f>
        <v>0</v>
      </c>
      <c r="C30" s="72"/>
      <c r="D30" s="48">
        <f t="shared" si="5"/>
        <v>0</v>
      </c>
      <c r="E30" s="48">
        <f t="shared" si="6"/>
        <v>0</v>
      </c>
      <c r="F30" s="72"/>
      <c r="H30" s="7" t="s">
        <v>98</v>
      </c>
      <c r="I30" s="48">
        <f>EST.MERCADOS!I16</f>
        <v>0</v>
      </c>
    </row>
    <row r="31" spans="1:9" x14ac:dyDescent="0.2">
      <c r="A31" s="1">
        <f>EST.TÉCNICO!I62</f>
        <v>0</v>
      </c>
      <c r="B31" s="1">
        <f>EST.TÉCNICO!J62</f>
        <v>0</v>
      </c>
      <c r="C31" s="72"/>
      <c r="D31" s="48">
        <f t="shared" si="5"/>
        <v>0</v>
      </c>
      <c r="E31" s="48">
        <f t="shared" si="6"/>
        <v>0</v>
      </c>
      <c r="F31" s="72"/>
      <c r="H31" s="7" t="s">
        <v>168</v>
      </c>
      <c r="I31" s="72">
        <v>0</v>
      </c>
    </row>
    <row r="32" spans="1:9" x14ac:dyDescent="0.2">
      <c r="A32" s="1">
        <f>EST.TÉCNICO!I63</f>
        <v>0</v>
      </c>
      <c r="B32" s="1">
        <f>EST.TÉCNICO!J63</f>
        <v>0</v>
      </c>
      <c r="C32" s="72"/>
      <c r="D32" s="48">
        <f t="shared" si="5"/>
        <v>0</v>
      </c>
      <c r="E32" s="48">
        <f t="shared" si="6"/>
        <v>0</v>
      </c>
      <c r="F32" s="72"/>
      <c r="H32" s="7" t="s">
        <v>404</v>
      </c>
      <c r="I32" s="72">
        <v>0</v>
      </c>
    </row>
    <row r="33" spans="1:10" x14ac:dyDescent="0.2">
      <c r="A33" s="1">
        <f>EST.TÉCNICO!I64</f>
        <v>0</v>
      </c>
      <c r="B33" s="1">
        <f>EST.TÉCNICO!J64</f>
        <v>0</v>
      </c>
      <c r="C33" s="72"/>
      <c r="D33" s="48">
        <f t="shared" si="5"/>
        <v>0</v>
      </c>
      <c r="E33" s="48">
        <f t="shared" si="6"/>
        <v>0</v>
      </c>
      <c r="F33" s="72"/>
      <c r="H33" s="7" t="s">
        <v>405</v>
      </c>
      <c r="I33" s="72">
        <v>0</v>
      </c>
    </row>
    <row r="34" spans="1:10" x14ac:dyDescent="0.2">
      <c r="A34" s="1">
        <f>EST.TÉCNICO!I65</f>
        <v>0</v>
      </c>
      <c r="B34" s="1">
        <f>EST.TÉCNICO!J65</f>
        <v>0</v>
      </c>
      <c r="C34" s="72"/>
      <c r="D34" s="48">
        <f t="shared" si="5"/>
        <v>0</v>
      </c>
      <c r="E34" s="48">
        <f t="shared" si="6"/>
        <v>0</v>
      </c>
      <c r="F34" s="72"/>
      <c r="H34" s="7" t="s">
        <v>169</v>
      </c>
      <c r="I34" s="72">
        <v>0</v>
      </c>
    </row>
    <row r="35" spans="1:10" ht="12.75" customHeight="1" x14ac:dyDescent="0.2">
      <c r="A35" s="1">
        <f>EST.TÉCNICO!I66</f>
        <v>0</v>
      </c>
      <c r="B35" s="1">
        <f>EST.TÉCNICO!J66</f>
        <v>0</v>
      </c>
      <c r="C35" s="72"/>
      <c r="D35" s="48">
        <f t="shared" si="5"/>
        <v>0</v>
      </c>
      <c r="E35" s="48">
        <f t="shared" si="6"/>
        <v>0</v>
      </c>
      <c r="F35" s="72"/>
      <c r="H35" s="7" t="s">
        <v>170</v>
      </c>
      <c r="I35" s="72">
        <v>0</v>
      </c>
    </row>
    <row r="36" spans="1:10" ht="12.75" customHeight="1" x14ac:dyDescent="0.2">
      <c r="A36" s="1">
        <f>EST.TÉCNICO!I67</f>
        <v>0</v>
      </c>
      <c r="B36" s="1">
        <f>EST.TÉCNICO!J67</f>
        <v>0</v>
      </c>
      <c r="C36" s="72"/>
      <c r="D36" s="48">
        <f t="shared" si="5"/>
        <v>0</v>
      </c>
      <c r="E36" s="48">
        <f t="shared" si="6"/>
        <v>0</v>
      </c>
      <c r="F36" s="72"/>
      <c r="H36" s="44" t="s">
        <v>164</v>
      </c>
      <c r="I36" s="48">
        <f>SUM(I20:I35)</f>
        <v>0</v>
      </c>
    </row>
    <row r="37" spans="1:10" ht="12.75" customHeight="1" x14ac:dyDescent="0.2">
      <c r="A37" s="1">
        <f>EST.TÉCNICO!I68</f>
        <v>0</v>
      </c>
      <c r="B37" s="1">
        <f>EST.TÉCNICO!J68</f>
        <v>0</v>
      </c>
      <c r="C37" s="72"/>
      <c r="D37" s="48">
        <f t="shared" si="5"/>
        <v>0</v>
      </c>
      <c r="E37" s="48">
        <f t="shared" si="6"/>
        <v>0</v>
      </c>
      <c r="F37" s="72"/>
      <c r="H37" s="7" t="s">
        <v>76</v>
      </c>
      <c r="I37" s="48">
        <f>I36/5</f>
        <v>0</v>
      </c>
    </row>
    <row r="38" spans="1:10" ht="12.75" customHeight="1" x14ac:dyDescent="0.2">
      <c r="A38" s="1">
        <f>EST.TÉCNICO!I69</f>
        <v>0</v>
      </c>
      <c r="B38" s="1">
        <f>EST.TÉCNICO!J69</f>
        <v>0</v>
      </c>
      <c r="C38" s="72"/>
      <c r="D38" s="48">
        <f t="shared" si="5"/>
        <v>0</v>
      </c>
      <c r="E38" s="48">
        <f t="shared" si="6"/>
        <v>0</v>
      </c>
      <c r="F38" s="72"/>
      <c r="H38" s="7" t="s">
        <v>75</v>
      </c>
      <c r="I38" s="48">
        <f>I37/12</f>
        <v>0</v>
      </c>
    </row>
    <row r="39" spans="1:10" ht="12.75" customHeight="1" x14ac:dyDescent="0.2">
      <c r="A39" s="1">
        <f>EST.TÉCNICO!I70</f>
        <v>0</v>
      </c>
      <c r="B39" s="1">
        <f>EST.TÉCNICO!J70</f>
        <v>0</v>
      </c>
      <c r="C39" s="72"/>
      <c r="D39" s="48">
        <f t="shared" si="5"/>
        <v>0</v>
      </c>
      <c r="E39" s="48">
        <f t="shared" si="6"/>
        <v>0</v>
      </c>
      <c r="F39" s="72"/>
    </row>
    <row r="40" spans="1:10" ht="12.75" customHeight="1" x14ac:dyDescent="0.2">
      <c r="A40" s="1">
        <f>EST.TÉCNICO!I71</f>
        <v>0</v>
      </c>
      <c r="B40" s="1">
        <f>EST.TÉCNICO!J71</f>
        <v>0</v>
      </c>
      <c r="C40" s="72"/>
      <c r="D40" s="48">
        <f t="shared" si="5"/>
        <v>0</v>
      </c>
      <c r="E40" s="48">
        <f t="shared" si="6"/>
        <v>0</v>
      </c>
      <c r="F40" s="72"/>
      <c r="H40" s="3" t="s">
        <v>6</v>
      </c>
      <c r="I40"/>
      <c r="J40" s="125"/>
    </row>
    <row r="41" spans="1:10" ht="12.75" customHeight="1" x14ac:dyDescent="0.2">
      <c r="A41" s="1">
        <f>EST.TÉCNICO!I72</f>
        <v>0</v>
      </c>
      <c r="B41" s="1">
        <f>EST.TÉCNICO!J72</f>
        <v>0</v>
      </c>
      <c r="C41" s="72"/>
      <c r="D41" s="48">
        <f t="shared" si="5"/>
        <v>0</v>
      </c>
      <c r="E41" s="48">
        <f t="shared" si="6"/>
        <v>0</v>
      </c>
      <c r="F41" s="72"/>
      <c r="H41" s="47" t="s">
        <v>154</v>
      </c>
      <c r="I41" s="6" t="s">
        <v>158</v>
      </c>
      <c r="J41" s="76">
        <v>1</v>
      </c>
    </row>
    <row r="42" spans="1:10" ht="12.75" customHeight="1" x14ac:dyDescent="0.2">
      <c r="A42" s="1">
        <f>EST.TÉCNICO!I73</f>
        <v>0</v>
      </c>
      <c r="B42" s="1">
        <f>EST.TÉCNICO!J73</f>
        <v>0</v>
      </c>
      <c r="C42" s="72"/>
      <c r="D42" s="48">
        <f t="shared" si="5"/>
        <v>0</v>
      </c>
      <c r="E42" s="48">
        <f t="shared" si="6"/>
        <v>0</v>
      </c>
      <c r="F42" s="72"/>
      <c r="H42" s="7" t="s">
        <v>44</v>
      </c>
      <c r="I42" s="48">
        <f>CTP!C107*J41</f>
        <v>0</v>
      </c>
    </row>
    <row r="43" spans="1:10" ht="12.75" customHeight="1" x14ac:dyDescent="0.2">
      <c r="A43" s="127" t="s">
        <v>0</v>
      </c>
      <c r="B43" s="128"/>
      <c r="C43" s="129"/>
      <c r="D43" s="48">
        <f>SUM(D28:D42)</f>
        <v>0</v>
      </c>
      <c r="E43" s="48">
        <f t="shared" ref="E43:F43" si="7">SUM(E28:E42)</f>
        <v>0</v>
      </c>
      <c r="F43" s="48">
        <f t="shared" si="7"/>
        <v>0</v>
      </c>
      <c r="H43" s="7" t="s">
        <v>7</v>
      </c>
      <c r="I43" s="48">
        <f>GAV!C62*J41</f>
        <v>0</v>
      </c>
    </row>
    <row r="44" spans="1:10" ht="12.75" customHeight="1" x14ac:dyDescent="0.2">
      <c r="H44" s="7" t="s">
        <v>8</v>
      </c>
      <c r="I44" s="48">
        <f>VLOOKUP(J41,CRÉDITO!A4:F9,6,FALSE)</f>
        <v>0</v>
      </c>
    </row>
    <row r="45" spans="1:10" ht="12.75" customHeight="1" x14ac:dyDescent="0.2">
      <c r="H45" s="7" t="s">
        <v>162</v>
      </c>
      <c r="I45" s="48">
        <f>-SUM(E14,E23,E43,E68,E83)/12*J41</f>
        <v>0</v>
      </c>
    </row>
    <row r="46" spans="1:10" ht="12.75" customHeight="1" x14ac:dyDescent="0.2">
      <c r="A46" s="27" t="s">
        <v>380</v>
      </c>
      <c r="B46" s="26"/>
      <c r="D46" s="37"/>
      <c r="E46" s="37"/>
      <c r="F46" s="37"/>
      <c r="H46" s="7" t="s">
        <v>163</v>
      </c>
      <c r="I46" s="48">
        <f>-I38*J41</f>
        <v>0</v>
      </c>
    </row>
    <row r="47" spans="1:10" ht="12.75" customHeight="1" x14ac:dyDescent="0.2">
      <c r="A47" s="1" t="s">
        <v>3</v>
      </c>
      <c r="B47" s="42" t="s">
        <v>115</v>
      </c>
      <c r="C47" s="5" t="s">
        <v>116</v>
      </c>
      <c r="D47" s="6" t="s">
        <v>155</v>
      </c>
      <c r="E47" s="6" t="s">
        <v>156</v>
      </c>
      <c r="F47" s="6" t="s">
        <v>157</v>
      </c>
      <c r="H47" s="44" t="s">
        <v>166</v>
      </c>
      <c r="I47" s="48">
        <f>SUM(I42:I46)</f>
        <v>0</v>
      </c>
    </row>
    <row r="48" spans="1:10" ht="12.75" customHeight="1" x14ac:dyDescent="0.2">
      <c r="A48" s="1">
        <f>EST.TÉCNICO!I77</f>
        <v>0</v>
      </c>
      <c r="B48" s="1">
        <f>EST.TÉCNICO!J77</f>
        <v>0</v>
      </c>
      <c r="C48" s="72"/>
      <c r="D48" s="48">
        <f t="shared" ref="D48:D67" si="8">B48*C48</f>
        <v>0</v>
      </c>
      <c r="E48" s="48">
        <f t="shared" ref="E48:E67" si="9">IF(D48="",0,(D48-F48)/5)</f>
        <v>0</v>
      </c>
      <c r="F48" s="72"/>
      <c r="H48"/>
      <c r="I48"/>
    </row>
    <row r="49" spans="1:10" x14ac:dyDescent="0.2">
      <c r="A49" s="1">
        <f>EST.TÉCNICO!I78</f>
        <v>0</v>
      </c>
      <c r="B49" s="1">
        <f>EST.TÉCNICO!J78</f>
        <v>0</v>
      </c>
      <c r="C49" s="72"/>
      <c r="D49" s="48">
        <f t="shared" si="8"/>
        <v>0</v>
      </c>
      <c r="E49" s="48">
        <f t="shared" si="9"/>
        <v>0</v>
      </c>
      <c r="F49" s="72"/>
      <c r="H49"/>
      <c r="I49"/>
    </row>
    <row r="50" spans="1:10" x14ac:dyDescent="0.2">
      <c r="A50" s="1">
        <f>EST.TÉCNICO!I79</f>
        <v>0</v>
      </c>
      <c r="B50" s="1">
        <f>EST.TÉCNICO!J79</f>
        <v>0</v>
      </c>
      <c r="C50" s="72"/>
      <c r="D50" s="48">
        <f t="shared" si="8"/>
        <v>0</v>
      </c>
      <c r="E50" s="48">
        <f t="shared" si="9"/>
        <v>0</v>
      </c>
      <c r="F50" s="72"/>
      <c r="H50" s="3" t="s">
        <v>9</v>
      </c>
      <c r="I50"/>
    </row>
    <row r="51" spans="1:10" x14ac:dyDescent="0.2">
      <c r="A51" s="1">
        <f>EST.TÉCNICO!I80</f>
        <v>0</v>
      </c>
      <c r="B51" s="1">
        <f>EST.TÉCNICO!J80</f>
        <v>0</v>
      </c>
      <c r="C51" s="72"/>
      <c r="D51" s="48">
        <f t="shared" si="8"/>
        <v>0</v>
      </c>
      <c r="E51" s="48">
        <f t="shared" si="9"/>
        <v>0</v>
      </c>
      <c r="F51" s="72"/>
      <c r="H51" s="47" t="s">
        <v>154</v>
      </c>
      <c r="I51" s="6" t="s">
        <v>158</v>
      </c>
    </row>
    <row r="52" spans="1:10" x14ac:dyDescent="0.2">
      <c r="A52" s="1">
        <f>EST.TÉCNICO!I81</f>
        <v>0</v>
      </c>
      <c r="B52" s="1">
        <f>EST.TÉCNICO!J81</f>
        <v>0</v>
      </c>
      <c r="C52" s="72"/>
      <c r="D52" s="48">
        <f t="shared" si="8"/>
        <v>0</v>
      </c>
      <c r="E52" s="48">
        <f t="shared" si="9"/>
        <v>0</v>
      </c>
      <c r="F52" s="72"/>
      <c r="H52" s="7" t="s">
        <v>10</v>
      </c>
      <c r="I52" s="48">
        <f>I11</f>
        <v>0</v>
      </c>
    </row>
    <row r="53" spans="1:10" x14ac:dyDescent="0.2">
      <c r="A53" s="1">
        <f>EST.TÉCNICO!I82</f>
        <v>0</v>
      </c>
      <c r="B53" s="1">
        <f>EST.TÉCNICO!J82</f>
        <v>0</v>
      </c>
      <c r="C53" s="72"/>
      <c r="D53" s="48">
        <f t="shared" si="8"/>
        <v>0</v>
      </c>
      <c r="E53" s="48">
        <f t="shared" si="9"/>
        <v>0</v>
      </c>
      <c r="F53" s="72"/>
      <c r="H53" s="7" t="s">
        <v>11</v>
      </c>
      <c r="I53" s="48">
        <f>I36</f>
        <v>0</v>
      </c>
    </row>
    <row r="54" spans="1:10" x14ac:dyDescent="0.2">
      <c r="A54" s="1">
        <f>EST.TÉCNICO!I83</f>
        <v>0</v>
      </c>
      <c r="B54" s="1">
        <f>EST.TÉCNICO!J83</f>
        <v>0</v>
      </c>
      <c r="C54" s="72"/>
      <c r="D54" s="48">
        <f t="shared" si="8"/>
        <v>0</v>
      </c>
      <c r="E54" s="48">
        <f t="shared" si="9"/>
        <v>0</v>
      </c>
      <c r="F54" s="72"/>
      <c r="H54" s="7" t="s">
        <v>12</v>
      </c>
      <c r="I54" s="48">
        <f>I47</f>
        <v>0</v>
      </c>
    </row>
    <row r="55" spans="1:10" x14ac:dyDescent="0.2">
      <c r="A55" s="1">
        <f>EST.TÉCNICO!I84</f>
        <v>0</v>
      </c>
      <c r="B55" s="1">
        <f>EST.TÉCNICO!J84</f>
        <v>0</v>
      </c>
      <c r="C55" s="72"/>
      <c r="D55" s="48">
        <f t="shared" ref="D55:D59" si="10">B55*C55</f>
        <v>0</v>
      </c>
      <c r="E55" s="48">
        <f t="shared" si="9"/>
        <v>0</v>
      </c>
      <c r="F55" s="72"/>
      <c r="H55" s="44" t="s">
        <v>167</v>
      </c>
      <c r="I55" s="48">
        <f>SUM(I52:I54)</f>
        <v>0</v>
      </c>
    </row>
    <row r="56" spans="1:10" x14ac:dyDescent="0.2">
      <c r="A56" s="1">
        <f>EST.TÉCNICO!I85</f>
        <v>0</v>
      </c>
      <c r="B56" s="1">
        <f>EST.TÉCNICO!J85</f>
        <v>0</v>
      </c>
      <c r="C56" s="72"/>
      <c r="D56" s="48">
        <f t="shared" si="10"/>
        <v>0</v>
      </c>
      <c r="E56" s="48">
        <f t="shared" si="9"/>
        <v>0</v>
      </c>
      <c r="F56" s="72"/>
      <c r="H56" s="3"/>
      <c r="I56" s="10"/>
    </row>
    <row r="57" spans="1:10" x14ac:dyDescent="0.2">
      <c r="A57" s="1">
        <f>EST.TÉCNICO!I86</f>
        <v>0</v>
      </c>
      <c r="B57" s="1">
        <f>EST.TÉCNICO!J86</f>
        <v>0</v>
      </c>
      <c r="C57" s="72"/>
      <c r="D57" s="48">
        <f t="shared" si="10"/>
        <v>0</v>
      </c>
      <c r="E57" s="48">
        <f t="shared" si="9"/>
        <v>0</v>
      </c>
      <c r="F57" s="72"/>
      <c r="H57" s="3"/>
      <c r="I57" s="10"/>
    </row>
    <row r="58" spans="1:10" x14ac:dyDescent="0.2">
      <c r="A58" s="1">
        <f>EST.TÉCNICO!I87</f>
        <v>0</v>
      </c>
      <c r="B58" s="1">
        <f>EST.TÉCNICO!J87</f>
        <v>0</v>
      </c>
      <c r="C58" s="72"/>
      <c r="D58" s="48">
        <f t="shared" si="10"/>
        <v>0</v>
      </c>
      <c r="E58" s="48">
        <f t="shared" si="9"/>
        <v>0</v>
      </c>
      <c r="F58" s="72"/>
      <c r="H58" s="15" t="s">
        <v>204</v>
      </c>
    </row>
    <row r="59" spans="1:10" x14ac:dyDescent="0.2">
      <c r="A59" s="1">
        <f>EST.TÉCNICO!I88</f>
        <v>0</v>
      </c>
      <c r="B59" s="1">
        <f>EST.TÉCNICO!J88</f>
        <v>0</v>
      </c>
      <c r="C59" s="72"/>
      <c r="D59" s="48">
        <f t="shared" si="10"/>
        <v>0</v>
      </c>
      <c r="E59" s="48">
        <f t="shared" si="9"/>
        <v>0</v>
      </c>
      <c r="F59" s="72"/>
      <c r="H59" s="47" t="s">
        <v>154</v>
      </c>
      <c r="I59" s="6" t="s">
        <v>158</v>
      </c>
      <c r="J59" s="6" t="s">
        <v>136</v>
      </c>
    </row>
    <row r="60" spans="1:10" x14ac:dyDescent="0.2">
      <c r="A60" s="1">
        <f>EST.TÉCNICO!I89</f>
        <v>0</v>
      </c>
      <c r="B60" s="1">
        <f>EST.TÉCNICO!J89</f>
        <v>0</v>
      </c>
      <c r="C60" s="72"/>
      <c r="D60" s="48">
        <f t="shared" si="8"/>
        <v>0</v>
      </c>
      <c r="E60" s="48">
        <f t="shared" si="9"/>
        <v>0</v>
      </c>
      <c r="F60" s="72"/>
      <c r="H60" s="7" t="s">
        <v>410</v>
      </c>
      <c r="I60" s="72">
        <v>0</v>
      </c>
      <c r="J60" s="11">
        <f>IF($I$63&gt;0,I60/$I$63,0)</f>
        <v>0</v>
      </c>
    </row>
    <row r="61" spans="1:10" x14ac:dyDescent="0.2">
      <c r="A61" s="1">
        <f>EST.TÉCNICO!I90</f>
        <v>0</v>
      </c>
      <c r="B61" s="1">
        <f>EST.TÉCNICO!J90</f>
        <v>0</v>
      </c>
      <c r="C61" s="72"/>
      <c r="D61" s="48">
        <f t="shared" si="8"/>
        <v>0</v>
      </c>
      <c r="E61" s="48">
        <f t="shared" si="9"/>
        <v>0</v>
      </c>
      <c r="F61" s="72"/>
      <c r="H61" s="7" t="s">
        <v>411</v>
      </c>
      <c r="I61" s="48">
        <f>I63-I60-I62</f>
        <v>0</v>
      </c>
      <c r="J61" s="11">
        <f t="shared" ref="J61:J62" si="11">IF($I$63&gt;0,I61/$I$63,0)</f>
        <v>0</v>
      </c>
    </row>
    <row r="62" spans="1:10" x14ac:dyDescent="0.2">
      <c r="A62" s="1">
        <f>EST.TÉCNICO!I91</f>
        <v>0</v>
      </c>
      <c r="B62" s="1">
        <f>EST.TÉCNICO!J91</f>
        <v>0</v>
      </c>
      <c r="C62" s="72"/>
      <c r="D62" s="48">
        <f t="shared" si="8"/>
        <v>0</v>
      </c>
      <c r="E62" s="48">
        <f t="shared" si="9"/>
        <v>0</v>
      </c>
      <c r="F62" s="72"/>
      <c r="H62" s="7" t="s">
        <v>85</v>
      </c>
      <c r="I62" s="48">
        <f>CRÉDITO!B1</f>
        <v>0</v>
      </c>
      <c r="J62" s="11">
        <f t="shared" si="11"/>
        <v>0</v>
      </c>
    </row>
    <row r="63" spans="1:10" x14ac:dyDescent="0.2">
      <c r="A63" s="1">
        <f>EST.TÉCNICO!I92</f>
        <v>0</v>
      </c>
      <c r="B63" s="1">
        <f>EST.TÉCNICO!J92</f>
        <v>0</v>
      </c>
      <c r="C63" s="72"/>
      <c r="D63" s="48">
        <f t="shared" si="8"/>
        <v>0</v>
      </c>
      <c r="E63" s="48">
        <f t="shared" si="9"/>
        <v>0</v>
      </c>
      <c r="F63" s="72"/>
      <c r="H63" s="44" t="s">
        <v>5</v>
      </c>
      <c r="I63" s="48">
        <f>I55</f>
        <v>0</v>
      </c>
      <c r="J63" s="11">
        <f>SUM(J60:J62)</f>
        <v>0</v>
      </c>
    </row>
    <row r="64" spans="1:10" x14ac:dyDescent="0.2">
      <c r="A64" s="1">
        <f>EST.TÉCNICO!I93</f>
        <v>0</v>
      </c>
      <c r="B64" s="1">
        <f>EST.TÉCNICO!J93</f>
        <v>0</v>
      </c>
      <c r="C64" s="72"/>
      <c r="D64" s="48">
        <f t="shared" si="8"/>
        <v>0</v>
      </c>
      <c r="E64" s="48">
        <f t="shared" si="9"/>
        <v>0</v>
      </c>
      <c r="F64" s="72"/>
    </row>
    <row r="65" spans="1:6" x14ac:dyDescent="0.2">
      <c r="A65" s="1">
        <f>EST.TÉCNICO!I94</f>
        <v>0</v>
      </c>
      <c r="B65" s="1">
        <f>EST.TÉCNICO!J94</f>
        <v>0</v>
      </c>
      <c r="C65" s="72"/>
      <c r="D65" s="48">
        <f t="shared" si="8"/>
        <v>0</v>
      </c>
      <c r="E65" s="48">
        <f t="shared" si="9"/>
        <v>0</v>
      </c>
      <c r="F65" s="72"/>
    </row>
    <row r="66" spans="1:6" x14ac:dyDescent="0.2">
      <c r="A66" s="1">
        <f>EST.TÉCNICO!I95</f>
        <v>0</v>
      </c>
      <c r="B66" s="1">
        <f>EST.TÉCNICO!J95</f>
        <v>0</v>
      </c>
      <c r="C66" s="72"/>
      <c r="D66" s="48">
        <f t="shared" si="8"/>
        <v>0</v>
      </c>
      <c r="E66" s="48">
        <f t="shared" si="9"/>
        <v>0</v>
      </c>
      <c r="F66" s="72"/>
    </row>
    <row r="67" spans="1:6" x14ac:dyDescent="0.2">
      <c r="A67" s="1">
        <f>EST.TÉCNICO!I96</f>
        <v>0</v>
      </c>
      <c r="B67" s="1">
        <f>EST.TÉCNICO!J96</f>
        <v>0</v>
      </c>
      <c r="C67" s="72"/>
      <c r="D67" s="48">
        <f t="shared" si="8"/>
        <v>0</v>
      </c>
      <c r="E67" s="48">
        <f t="shared" si="9"/>
        <v>0</v>
      </c>
      <c r="F67" s="72"/>
    </row>
    <row r="68" spans="1:6" x14ac:dyDescent="0.2">
      <c r="A68" s="127" t="s">
        <v>0</v>
      </c>
      <c r="B68" s="128"/>
      <c r="C68" s="129"/>
      <c r="D68" s="48">
        <f>SUM(D48:D67)</f>
        <v>0</v>
      </c>
      <c r="E68" s="48">
        <f>SUM(E48:E67)</f>
        <v>0</v>
      </c>
      <c r="F68" s="48">
        <f>SUM(F48:F67)</f>
        <v>0</v>
      </c>
    </row>
    <row r="71" spans="1:6" x14ac:dyDescent="0.2">
      <c r="A71" s="27" t="s">
        <v>400</v>
      </c>
      <c r="B71" s="25"/>
      <c r="D71" s="37"/>
      <c r="E71" s="37"/>
      <c r="F71" s="37"/>
    </row>
    <row r="72" spans="1:6" x14ac:dyDescent="0.2">
      <c r="A72" s="1" t="s">
        <v>3</v>
      </c>
      <c r="B72" s="42" t="s">
        <v>115</v>
      </c>
      <c r="C72" s="5" t="s">
        <v>116</v>
      </c>
      <c r="D72" s="6" t="s">
        <v>155</v>
      </c>
      <c r="E72" s="6" t="s">
        <v>156</v>
      </c>
      <c r="F72" s="6" t="s">
        <v>157</v>
      </c>
    </row>
    <row r="73" spans="1:6" x14ac:dyDescent="0.2">
      <c r="A73" s="1">
        <f>EST.TÉCNICO!I100</f>
        <v>0</v>
      </c>
      <c r="B73" s="1">
        <f>EST.TÉCNICO!J100</f>
        <v>0</v>
      </c>
      <c r="C73" s="72"/>
      <c r="D73" s="48">
        <f t="shared" ref="D73:D80" si="12">B73*C73</f>
        <v>0</v>
      </c>
      <c r="E73" s="48">
        <f t="shared" ref="E73:E82" si="13">IF(D73="",0,(D73-F73)/5)</f>
        <v>0</v>
      </c>
      <c r="F73" s="72"/>
    </row>
    <row r="74" spans="1:6" x14ac:dyDescent="0.2">
      <c r="A74" s="1">
        <f>EST.TÉCNICO!I101</f>
        <v>0</v>
      </c>
      <c r="B74" s="1">
        <f>EST.TÉCNICO!J101</f>
        <v>0</v>
      </c>
      <c r="C74" s="72"/>
      <c r="D74" s="48">
        <f t="shared" si="12"/>
        <v>0</v>
      </c>
      <c r="E74" s="48">
        <f t="shared" si="13"/>
        <v>0</v>
      </c>
      <c r="F74" s="72"/>
    </row>
    <row r="75" spans="1:6" x14ac:dyDescent="0.2">
      <c r="A75" s="1">
        <f>EST.TÉCNICO!I102</f>
        <v>0</v>
      </c>
      <c r="B75" s="1">
        <f>EST.TÉCNICO!J102</f>
        <v>0</v>
      </c>
      <c r="C75" s="72"/>
      <c r="D75" s="48">
        <f t="shared" si="12"/>
        <v>0</v>
      </c>
      <c r="E75" s="48">
        <f t="shared" si="13"/>
        <v>0</v>
      </c>
      <c r="F75" s="72"/>
    </row>
    <row r="76" spans="1:6" x14ac:dyDescent="0.2">
      <c r="A76" s="1">
        <f>EST.TÉCNICO!I103</f>
        <v>0</v>
      </c>
      <c r="B76" s="1">
        <f>EST.TÉCNICO!J103</f>
        <v>0</v>
      </c>
      <c r="C76" s="72"/>
      <c r="D76" s="48">
        <f t="shared" si="12"/>
        <v>0</v>
      </c>
      <c r="E76" s="48">
        <f t="shared" si="13"/>
        <v>0</v>
      </c>
      <c r="F76" s="72"/>
    </row>
    <row r="77" spans="1:6" x14ac:dyDescent="0.2">
      <c r="A77" s="1">
        <f>EST.TÉCNICO!I104</f>
        <v>0</v>
      </c>
      <c r="B77" s="1">
        <f>EST.TÉCNICO!J104</f>
        <v>0</v>
      </c>
      <c r="C77" s="72"/>
      <c r="D77" s="48">
        <f t="shared" si="12"/>
        <v>0</v>
      </c>
      <c r="E77" s="48">
        <f t="shared" si="13"/>
        <v>0</v>
      </c>
      <c r="F77" s="72"/>
    </row>
    <row r="78" spans="1:6" x14ac:dyDescent="0.2">
      <c r="A78" s="1">
        <f>EST.TÉCNICO!I105</f>
        <v>0</v>
      </c>
      <c r="B78" s="1">
        <f>EST.TÉCNICO!J105</f>
        <v>0</v>
      </c>
      <c r="C78" s="72"/>
      <c r="D78" s="48">
        <f t="shared" si="12"/>
        <v>0</v>
      </c>
      <c r="E78" s="48">
        <f t="shared" si="13"/>
        <v>0</v>
      </c>
      <c r="F78" s="72"/>
    </row>
    <row r="79" spans="1:6" x14ac:dyDescent="0.2">
      <c r="A79" s="1">
        <f>EST.TÉCNICO!I106</f>
        <v>0</v>
      </c>
      <c r="B79" s="1">
        <f>EST.TÉCNICO!J106</f>
        <v>0</v>
      </c>
      <c r="C79" s="72"/>
      <c r="D79" s="48">
        <f t="shared" si="12"/>
        <v>0</v>
      </c>
      <c r="E79" s="48">
        <f t="shared" si="13"/>
        <v>0</v>
      </c>
      <c r="F79" s="72"/>
    </row>
    <row r="80" spans="1:6" x14ac:dyDescent="0.2">
      <c r="A80" s="1">
        <f>EST.TÉCNICO!I107</f>
        <v>0</v>
      </c>
      <c r="B80" s="1">
        <f>EST.TÉCNICO!J107</f>
        <v>0</v>
      </c>
      <c r="C80" s="72"/>
      <c r="D80" s="48">
        <f t="shared" si="12"/>
        <v>0</v>
      </c>
      <c r="E80" s="48">
        <f t="shared" si="13"/>
        <v>0</v>
      </c>
      <c r="F80" s="72"/>
    </row>
    <row r="81" spans="1:6" x14ac:dyDescent="0.2">
      <c r="A81" s="1">
        <f>EST.TÉCNICO!I108</f>
        <v>0</v>
      </c>
      <c r="B81" s="1">
        <f>EST.TÉCNICO!J108</f>
        <v>0</v>
      </c>
      <c r="C81" s="72"/>
      <c r="D81" s="48">
        <f t="shared" ref="D81:D82" si="14">B81*C81</f>
        <v>0</v>
      </c>
      <c r="E81" s="48">
        <f t="shared" si="13"/>
        <v>0</v>
      </c>
      <c r="F81" s="72"/>
    </row>
    <row r="82" spans="1:6" x14ac:dyDescent="0.2">
      <c r="A82" s="1">
        <f>EST.TÉCNICO!I109</f>
        <v>0</v>
      </c>
      <c r="B82" s="1">
        <f>EST.TÉCNICO!J109</f>
        <v>0</v>
      </c>
      <c r="C82" s="72"/>
      <c r="D82" s="48">
        <f t="shared" si="14"/>
        <v>0</v>
      </c>
      <c r="E82" s="48">
        <f t="shared" si="13"/>
        <v>0</v>
      </c>
      <c r="F82" s="72"/>
    </row>
    <row r="83" spans="1:6" x14ac:dyDescent="0.2">
      <c r="A83" s="127" t="s">
        <v>0</v>
      </c>
      <c r="B83" s="128"/>
      <c r="C83" s="129"/>
      <c r="D83" s="48">
        <f>SUM(D73:D82)</f>
        <v>0</v>
      </c>
      <c r="E83" s="48">
        <f t="shared" ref="E83:F83" si="15">SUM(E73:E82)</f>
        <v>0</v>
      </c>
      <c r="F83" s="48">
        <f t="shared" si="15"/>
        <v>0</v>
      </c>
    </row>
  </sheetData>
  <sheetProtection sheet="1" objects="1" scenarios="1"/>
  <mergeCells count="5">
    <mergeCell ref="A83:C83"/>
    <mergeCell ref="A14:C14"/>
    <mergeCell ref="A23:C23"/>
    <mergeCell ref="A43:C43"/>
    <mergeCell ref="A68:C68"/>
  </mergeCells>
  <pageMargins left="0.7" right="0.7" top="0.75" bottom="0.75" header="0.3" footer="0.3"/>
  <pageSetup paperSize="9" orientation="portrait" horizontalDpi="0" verticalDpi="0" r:id="rId1"/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3"/>
  <dimension ref="A1:I69"/>
  <sheetViews>
    <sheetView showGridLines="0" zoomScaleNormal="100" workbookViewId="0">
      <selection activeCell="G26" sqref="G26"/>
    </sheetView>
  </sheetViews>
  <sheetFormatPr baseColWidth="10" defaultColWidth="11.42578125" defaultRowHeight="12.75" x14ac:dyDescent="0.2"/>
  <cols>
    <col min="2" max="5" width="17.85546875" style="20" customWidth="1"/>
    <col min="6" max="6" width="13.42578125" style="3" customWidth="1"/>
    <col min="7" max="7" width="11.42578125" style="3"/>
  </cols>
  <sheetData>
    <row r="1" spans="1:9" x14ac:dyDescent="0.2">
      <c r="A1" s="38" t="s">
        <v>15</v>
      </c>
      <c r="B1" s="72"/>
      <c r="C1" s="126" t="s">
        <v>16</v>
      </c>
      <c r="D1" s="126"/>
      <c r="E1" s="78"/>
      <c r="G1" s="79">
        <f>((1+E1)^12)-1</f>
        <v>0</v>
      </c>
      <c r="H1" s="3" t="s">
        <v>171</v>
      </c>
    </row>
    <row r="2" spans="1:9" x14ac:dyDescent="0.2">
      <c r="A2" s="38" t="s">
        <v>17</v>
      </c>
      <c r="B2" s="77"/>
      <c r="C2" s="126" t="s">
        <v>18</v>
      </c>
      <c r="D2" s="126"/>
      <c r="E2" s="39">
        <f>IF(B2&gt;0,ROUND(-PMT(E1,B2,B1,0,0),0),0)</f>
        <v>0</v>
      </c>
    </row>
    <row r="3" spans="1:9" x14ac:dyDescent="0.2">
      <c r="A3" s="19" t="s">
        <v>172</v>
      </c>
      <c r="B3" s="19" t="s">
        <v>173</v>
      </c>
      <c r="C3" s="19" t="s">
        <v>174</v>
      </c>
      <c r="D3" s="19" t="s">
        <v>175</v>
      </c>
      <c r="E3" s="19" t="s">
        <v>176</v>
      </c>
    </row>
    <row r="4" spans="1:9" x14ac:dyDescent="0.2">
      <c r="A4" s="19">
        <v>1</v>
      </c>
      <c r="B4" s="48">
        <f>D4-C4</f>
        <v>0</v>
      </c>
      <c r="C4" s="48">
        <f>ROUND($B$1*E1,0)</f>
        <v>0</v>
      </c>
      <c r="D4" s="48">
        <f>$E$2</f>
        <v>0</v>
      </c>
      <c r="E4" s="48">
        <f>B1-B4</f>
        <v>0</v>
      </c>
      <c r="F4" s="119">
        <f>C4</f>
        <v>0</v>
      </c>
    </row>
    <row r="5" spans="1:9" x14ac:dyDescent="0.2">
      <c r="A5" s="19">
        <v>2</v>
      </c>
      <c r="B5" s="48">
        <f t="shared" ref="B5:B15" si="0">D5-C5</f>
        <v>0</v>
      </c>
      <c r="C5" s="48">
        <f>ROUND($E$1*E4,0)</f>
        <v>0</v>
      </c>
      <c r="D5" s="48">
        <f t="shared" ref="D5:D15" si="1">$E$2</f>
        <v>0</v>
      </c>
      <c r="E5" s="48">
        <f t="shared" ref="E5:E14" si="2">E4-B5</f>
        <v>0</v>
      </c>
      <c r="F5" s="120">
        <f>SUM(C4:C5)</f>
        <v>0</v>
      </c>
    </row>
    <row r="6" spans="1:9" x14ac:dyDescent="0.2">
      <c r="A6" s="19">
        <v>3</v>
      </c>
      <c r="B6" s="48">
        <f t="shared" si="0"/>
        <v>0</v>
      </c>
      <c r="C6" s="48">
        <f t="shared" ref="C6:C15" si="3">ROUND($E$1*E5,0)</f>
        <v>0</v>
      </c>
      <c r="D6" s="48">
        <f t="shared" si="1"/>
        <v>0</v>
      </c>
      <c r="E6" s="48">
        <f t="shared" si="2"/>
        <v>0</v>
      </c>
      <c r="F6" s="119">
        <f>SUM(C4:C6)</f>
        <v>0</v>
      </c>
    </row>
    <row r="7" spans="1:9" x14ac:dyDescent="0.2">
      <c r="A7" s="19">
        <v>4</v>
      </c>
      <c r="B7" s="48">
        <f t="shared" si="0"/>
        <v>0</v>
      </c>
      <c r="C7" s="48">
        <f t="shared" si="3"/>
        <v>0</v>
      </c>
      <c r="D7" s="48">
        <f t="shared" si="1"/>
        <v>0</v>
      </c>
      <c r="E7" s="48">
        <f t="shared" si="2"/>
        <v>0</v>
      </c>
      <c r="F7" s="120">
        <f>SUM(C4:C7)</f>
        <v>0</v>
      </c>
    </row>
    <row r="8" spans="1:9" x14ac:dyDescent="0.2">
      <c r="A8" s="19">
        <v>5</v>
      </c>
      <c r="B8" s="48">
        <f t="shared" si="0"/>
        <v>0</v>
      </c>
      <c r="C8" s="48">
        <f t="shared" si="3"/>
        <v>0</v>
      </c>
      <c r="D8" s="48">
        <f t="shared" si="1"/>
        <v>0</v>
      </c>
      <c r="E8" s="48">
        <f t="shared" si="2"/>
        <v>0</v>
      </c>
      <c r="F8" s="120">
        <f>SUM(C4:C8)</f>
        <v>0</v>
      </c>
      <c r="H8" s="20"/>
      <c r="I8" s="20"/>
    </row>
    <row r="9" spans="1:9" x14ac:dyDescent="0.2">
      <c r="A9" s="19">
        <v>6</v>
      </c>
      <c r="B9" s="48">
        <f t="shared" si="0"/>
        <v>0</v>
      </c>
      <c r="C9" s="48">
        <f t="shared" si="3"/>
        <v>0</v>
      </c>
      <c r="D9" s="48">
        <f t="shared" si="1"/>
        <v>0</v>
      </c>
      <c r="E9" s="48">
        <f t="shared" si="2"/>
        <v>0</v>
      </c>
      <c r="F9" s="120">
        <f>SUM(C4:C9)</f>
        <v>0</v>
      </c>
    </row>
    <row r="10" spans="1:9" x14ac:dyDescent="0.2">
      <c r="A10" s="19">
        <v>7</v>
      </c>
      <c r="B10" s="48">
        <f t="shared" si="0"/>
        <v>0</v>
      </c>
      <c r="C10" s="48">
        <f t="shared" si="3"/>
        <v>0</v>
      </c>
      <c r="D10" s="48">
        <f t="shared" si="1"/>
        <v>0</v>
      </c>
      <c r="E10" s="48">
        <f t="shared" si="2"/>
        <v>0</v>
      </c>
      <c r="H10" s="20"/>
    </row>
    <row r="11" spans="1:9" x14ac:dyDescent="0.2">
      <c r="A11" s="19">
        <v>8</v>
      </c>
      <c r="B11" s="48">
        <f t="shared" si="0"/>
        <v>0</v>
      </c>
      <c r="C11" s="48">
        <f t="shared" si="3"/>
        <v>0</v>
      </c>
      <c r="D11" s="48">
        <f t="shared" si="1"/>
        <v>0</v>
      </c>
      <c r="E11" s="48">
        <f t="shared" si="2"/>
        <v>0</v>
      </c>
    </row>
    <row r="12" spans="1:9" x14ac:dyDescent="0.2">
      <c r="A12" s="19">
        <v>9</v>
      </c>
      <c r="B12" s="48">
        <f t="shared" si="0"/>
        <v>0</v>
      </c>
      <c r="C12" s="48">
        <f t="shared" si="3"/>
        <v>0</v>
      </c>
      <c r="D12" s="48">
        <f t="shared" si="1"/>
        <v>0</v>
      </c>
      <c r="E12" s="48">
        <f t="shared" si="2"/>
        <v>0</v>
      </c>
      <c r="H12" s="20"/>
      <c r="I12" s="20"/>
    </row>
    <row r="13" spans="1:9" x14ac:dyDescent="0.2">
      <c r="A13" s="19">
        <v>10</v>
      </c>
      <c r="B13" s="48">
        <f t="shared" si="0"/>
        <v>0</v>
      </c>
      <c r="C13" s="48">
        <f t="shared" si="3"/>
        <v>0</v>
      </c>
      <c r="D13" s="48">
        <f t="shared" si="1"/>
        <v>0</v>
      </c>
      <c r="E13" s="48">
        <f t="shared" si="2"/>
        <v>0</v>
      </c>
    </row>
    <row r="14" spans="1:9" x14ac:dyDescent="0.2">
      <c r="A14" s="19">
        <v>11</v>
      </c>
      <c r="B14" s="48">
        <f t="shared" si="0"/>
        <v>0</v>
      </c>
      <c r="C14" s="48">
        <f t="shared" si="3"/>
        <v>0</v>
      </c>
      <c r="D14" s="48">
        <f t="shared" si="1"/>
        <v>0</v>
      </c>
      <c r="E14" s="48">
        <f t="shared" si="2"/>
        <v>0</v>
      </c>
      <c r="F14" s="21"/>
      <c r="G14" s="21"/>
      <c r="H14" s="20"/>
      <c r="I14" s="20"/>
    </row>
    <row r="15" spans="1:9" x14ac:dyDescent="0.2">
      <c r="A15" s="19">
        <v>12</v>
      </c>
      <c r="B15" s="48">
        <f t="shared" si="0"/>
        <v>0</v>
      </c>
      <c r="C15" s="48">
        <f t="shared" si="3"/>
        <v>0</v>
      </c>
      <c r="D15" s="48">
        <f t="shared" si="1"/>
        <v>0</v>
      </c>
      <c r="E15" s="48">
        <f>IF($B$2=12,0,E14-B15)</f>
        <v>0</v>
      </c>
      <c r="F15" s="22"/>
      <c r="G15" s="10"/>
      <c r="H15" s="20"/>
    </row>
    <row r="16" spans="1:9" x14ac:dyDescent="0.2">
      <c r="A16" s="18"/>
      <c r="B16" s="48">
        <f>IF($B$2=12,$B$1,SUM(B4:B15))</f>
        <v>0</v>
      </c>
      <c r="C16" s="48">
        <f t="shared" ref="C16:D16" si="4">SUM(C4:C15)</f>
        <v>0</v>
      </c>
      <c r="D16" s="48">
        <f t="shared" si="4"/>
        <v>0</v>
      </c>
      <c r="E16" s="48"/>
      <c r="F16" s="22"/>
      <c r="G16" s="10"/>
      <c r="H16" s="20"/>
    </row>
    <row r="17" spans="1:9" x14ac:dyDescent="0.2">
      <c r="A17" s="19">
        <v>13</v>
      </c>
      <c r="B17" s="48">
        <f t="shared" ref="B17:B28" si="5">D17-C17</f>
        <v>0</v>
      </c>
      <c r="C17" s="48">
        <f>ROUND($E$1*E15,0)</f>
        <v>0</v>
      </c>
      <c r="D17" s="48">
        <f>IF($B$2&gt;=24,$E$2,0)</f>
        <v>0</v>
      </c>
      <c r="E17" s="48">
        <f>E15-B17</f>
        <v>0</v>
      </c>
      <c r="F17" s="10"/>
      <c r="H17" s="20"/>
      <c r="I17" s="20"/>
    </row>
    <row r="18" spans="1:9" x14ac:dyDescent="0.2">
      <c r="A18" s="19">
        <v>14</v>
      </c>
      <c r="B18" s="48">
        <f t="shared" si="5"/>
        <v>0</v>
      </c>
      <c r="C18" s="48">
        <f>ROUND($E$1*E17,0)</f>
        <v>0</v>
      </c>
      <c r="D18" s="48">
        <f t="shared" ref="D18:D28" si="6">IF($B$2&gt;=24,$E$2,0)</f>
        <v>0</v>
      </c>
      <c r="E18" s="48">
        <f t="shared" ref="E18:E27" si="7">E17-B18</f>
        <v>0</v>
      </c>
    </row>
    <row r="19" spans="1:9" x14ac:dyDescent="0.2">
      <c r="A19" s="19">
        <v>15</v>
      </c>
      <c r="B19" s="48">
        <f t="shared" si="5"/>
        <v>0</v>
      </c>
      <c r="C19" s="48">
        <f>ROUND($E$1*E18,0)</f>
        <v>0</v>
      </c>
      <c r="D19" s="48">
        <f t="shared" si="6"/>
        <v>0</v>
      </c>
      <c r="E19" s="48">
        <f t="shared" si="7"/>
        <v>0</v>
      </c>
      <c r="H19" s="20"/>
    </row>
    <row r="20" spans="1:9" x14ac:dyDescent="0.2">
      <c r="A20" s="19">
        <v>16</v>
      </c>
      <c r="B20" s="48">
        <f t="shared" si="5"/>
        <v>0</v>
      </c>
      <c r="C20" s="48">
        <f t="shared" ref="C20:C28" si="8">ROUND($E$1*E19,0)</f>
        <v>0</v>
      </c>
      <c r="D20" s="48">
        <f t="shared" si="6"/>
        <v>0</v>
      </c>
      <c r="E20" s="48">
        <f t="shared" si="7"/>
        <v>0</v>
      </c>
    </row>
    <row r="21" spans="1:9" x14ac:dyDescent="0.2">
      <c r="A21" s="19">
        <v>17</v>
      </c>
      <c r="B21" s="48">
        <f t="shared" si="5"/>
        <v>0</v>
      </c>
      <c r="C21" s="48">
        <f t="shared" si="8"/>
        <v>0</v>
      </c>
      <c r="D21" s="48">
        <f t="shared" si="6"/>
        <v>0</v>
      </c>
      <c r="E21" s="48">
        <f t="shared" si="7"/>
        <v>0</v>
      </c>
    </row>
    <row r="22" spans="1:9" x14ac:dyDescent="0.2">
      <c r="A22" s="19">
        <v>18</v>
      </c>
      <c r="B22" s="48">
        <f t="shared" si="5"/>
        <v>0</v>
      </c>
      <c r="C22" s="48">
        <f t="shared" si="8"/>
        <v>0</v>
      </c>
      <c r="D22" s="48">
        <f t="shared" si="6"/>
        <v>0</v>
      </c>
      <c r="E22" s="48">
        <f t="shared" si="7"/>
        <v>0</v>
      </c>
    </row>
    <row r="23" spans="1:9" x14ac:dyDescent="0.2">
      <c r="A23" s="19">
        <v>19</v>
      </c>
      <c r="B23" s="48">
        <f t="shared" si="5"/>
        <v>0</v>
      </c>
      <c r="C23" s="48">
        <f t="shared" si="8"/>
        <v>0</v>
      </c>
      <c r="D23" s="48">
        <f t="shared" si="6"/>
        <v>0</v>
      </c>
      <c r="E23" s="48">
        <f t="shared" si="7"/>
        <v>0</v>
      </c>
    </row>
    <row r="24" spans="1:9" x14ac:dyDescent="0.2">
      <c r="A24" s="19">
        <v>20</v>
      </c>
      <c r="B24" s="48">
        <f t="shared" si="5"/>
        <v>0</v>
      </c>
      <c r="C24" s="48">
        <f t="shared" si="8"/>
        <v>0</v>
      </c>
      <c r="D24" s="48">
        <f t="shared" si="6"/>
        <v>0</v>
      </c>
      <c r="E24" s="48">
        <f t="shared" si="7"/>
        <v>0</v>
      </c>
    </row>
    <row r="25" spans="1:9" x14ac:dyDescent="0.2">
      <c r="A25" s="19">
        <v>21</v>
      </c>
      <c r="B25" s="48">
        <f t="shared" si="5"/>
        <v>0</v>
      </c>
      <c r="C25" s="48">
        <f t="shared" si="8"/>
        <v>0</v>
      </c>
      <c r="D25" s="48">
        <f t="shared" si="6"/>
        <v>0</v>
      </c>
      <c r="E25" s="48">
        <f t="shared" si="7"/>
        <v>0</v>
      </c>
    </row>
    <row r="26" spans="1:9" x14ac:dyDescent="0.2">
      <c r="A26" s="19">
        <v>22</v>
      </c>
      <c r="B26" s="48">
        <f t="shared" si="5"/>
        <v>0</v>
      </c>
      <c r="C26" s="48">
        <f t="shared" si="8"/>
        <v>0</v>
      </c>
      <c r="D26" s="48">
        <f t="shared" si="6"/>
        <v>0</v>
      </c>
      <c r="E26" s="48">
        <f t="shared" si="7"/>
        <v>0</v>
      </c>
    </row>
    <row r="27" spans="1:9" x14ac:dyDescent="0.2">
      <c r="A27" s="19">
        <v>23</v>
      </c>
      <c r="B27" s="48">
        <f t="shared" si="5"/>
        <v>0</v>
      </c>
      <c r="C27" s="48">
        <f t="shared" si="8"/>
        <v>0</v>
      </c>
      <c r="D27" s="48">
        <f t="shared" si="6"/>
        <v>0</v>
      </c>
      <c r="E27" s="48">
        <f t="shared" si="7"/>
        <v>0</v>
      </c>
    </row>
    <row r="28" spans="1:9" x14ac:dyDescent="0.2">
      <c r="A28" s="19">
        <v>24</v>
      </c>
      <c r="B28" s="48">
        <f t="shared" si="5"/>
        <v>0</v>
      </c>
      <c r="C28" s="48">
        <f t="shared" si="8"/>
        <v>0</v>
      </c>
      <c r="D28" s="48">
        <f t="shared" si="6"/>
        <v>0</v>
      </c>
      <c r="E28" s="48">
        <f>IF($B$2=24,0,E27-B28)</f>
        <v>0</v>
      </c>
      <c r="F28" s="22"/>
      <c r="G28" s="10"/>
    </row>
    <row r="29" spans="1:9" x14ac:dyDescent="0.2">
      <c r="A29" s="18"/>
      <c r="B29" s="48">
        <f>IF($B$2=24,$B$1-B16,SUM(B17:B28))</f>
        <v>0</v>
      </c>
      <c r="C29" s="48">
        <f t="shared" ref="C29:D29" si="9">SUM(C17:C28)</f>
        <v>0</v>
      </c>
      <c r="D29" s="48">
        <f t="shared" si="9"/>
        <v>0</v>
      </c>
      <c r="E29" s="48"/>
      <c r="F29" s="22"/>
      <c r="G29" s="10"/>
    </row>
    <row r="30" spans="1:9" x14ac:dyDescent="0.2">
      <c r="A30" s="19">
        <v>25</v>
      </c>
      <c r="B30" s="48">
        <f t="shared" ref="B30:B41" si="10">D30-C30</f>
        <v>0</v>
      </c>
      <c r="C30" s="48">
        <f>ROUND($E$1*E28,0)</f>
        <v>0</v>
      </c>
      <c r="D30" s="48">
        <f>IF($B$2&gt;=36,$E$2,0)</f>
        <v>0</v>
      </c>
      <c r="E30" s="48">
        <f>E28-B30</f>
        <v>0</v>
      </c>
      <c r="F30" s="22"/>
      <c r="G30" s="10"/>
    </row>
    <row r="31" spans="1:9" x14ac:dyDescent="0.2">
      <c r="A31" s="19">
        <v>26</v>
      </c>
      <c r="B31" s="48">
        <f t="shared" si="10"/>
        <v>0</v>
      </c>
      <c r="C31" s="48">
        <f>ROUND($E$1*E30,0)</f>
        <v>0</v>
      </c>
      <c r="D31" s="48">
        <f t="shared" ref="D31:D41" si="11">IF($B$2&gt;=36,$E$2,0)</f>
        <v>0</v>
      </c>
      <c r="E31" s="48">
        <f t="shared" ref="E31:E40" si="12">E30-B31</f>
        <v>0</v>
      </c>
      <c r="F31" s="22"/>
      <c r="G31" s="10"/>
    </row>
    <row r="32" spans="1:9" x14ac:dyDescent="0.2">
      <c r="A32" s="19">
        <v>27</v>
      </c>
      <c r="B32" s="48">
        <f t="shared" si="10"/>
        <v>0</v>
      </c>
      <c r="C32" s="48">
        <f>ROUND($E$1*E31,0)</f>
        <v>0</v>
      </c>
      <c r="D32" s="48">
        <f t="shared" si="11"/>
        <v>0</v>
      </c>
      <c r="E32" s="48">
        <f t="shared" si="12"/>
        <v>0</v>
      </c>
      <c r="F32" s="22"/>
      <c r="G32" s="10"/>
    </row>
    <row r="33" spans="1:7" x14ac:dyDescent="0.2">
      <c r="A33" s="19">
        <v>28</v>
      </c>
      <c r="B33" s="48">
        <f t="shared" si="10"/>
        <v>0</v>
      </c>
      <c r="C33" s="48">
        <f t="shared" ref="C33:C41" si="13">ROUND($E$1*E32,0)</f>
        <v>0</v>
      </c>
      <c r="D33" s="48">
        <f t="shared" si="11"/>
        <v>0</v>
      </c>
      <c r="E33" s="48">
        <f t="shared" si="12"/>
        <v>0</v>
      </c>
      <c r="F33" s="22"/>
      <c r="G33" s="10"/>
    </row>
    <row r="34" spans="1:7" x14ac:dyDescent="0.2">
      <c r="A34" s="19">
        <v>29</v>
      </c>
      <c r="B34" s="48">
        <f t="shared" si="10"/>
        <v>0</v>
      </c>
      <c r="C34" s="48">
        <f t="shared" si="13"/>
        <v>0</v>
      </c>
      <c r="D34" s="48">
        <f t="shared" si="11"/>
        <v>0</v>
      </c>
      <c r="E34" s="48">
        <f t="shared" si="12"/>
        <v>0</v>
      </c>
      <c r="F34" s="22"/>
      <c r="G34" s="10"/>
    </row>
    <row r="35" spans="1:7" x14ac:dyDescent="0.2">
      <c r="A35" s="19">
        <v>30</v>
      </c>
      <c r="B35" s="48">
        <f t="shared" si="10"/>
        <v>0</v>
      </c>
      <c r="C35" s="48">
        <f t="shared" si="13"/>
        <v>0</v>
      </c>
      <c r="D35" s="48">
        <f t="shared" si="11"/>
        <v>0</v>
      </c>
      <c r="E35" s="48">
        <f t="shared" si="12"/>
        <v>0</v>
      </c>
      <c r="F35" s="22"/>
      <c r="G35" s="10"/>
    </row>
    <row r="36" spans="1:7" x14ac:dyDescent="0.2">
      <c r="A36" s="19">
        <v>31</v>
      </c>
      <c r="B36" s="48">
        <f t="shared" si="10"/>
        <v>0</v>
      </c>
      <c r="C36" s="48">
        <f t="shared" si="13"/>
        <v>0</v>
      </c>
      <c r="D36" s="48">
        <f t="shared" si="11"/>
        <v>0</v>
      </c>
      <c r="E36" s="48">
        <f t="shared" si="12"/>
        <v>0</v>
      </c>
      <c r="F36" s="22"/>
      <c r="G36" s="10"/>
    </row>
    <row r="37" spans="1:7" x14ac:dyDescent="0.2">
      <c r="A37" s="19">
        <v>32</v>
      </c>
      <c r="B37" s="48">
        <f t="shared" si="10"/>
        <v>0</v>
      </c>
      <c r="C37" s="48">
        <f t="shared" si="13"/>
        <v>0</v>
      </c>
      <c r="D37" s="48">
        <f t="shared" si="11"/>
        <v>0</v>
      </c>
      <c r="E37" s="48">
        <f t="shared" si="12"/>
        <v>0</v>
      </c>
      <c r="F37" s="22"/>
      <c r="G37" s="10"/>
    </row>
    <row r="38" spans="1:7" x14ac:dyDescent="0.2">
      <c r="A38" s="19">
        <v>33</v>
      </c>
      <c r="B38" s="48">
        <f t="shared" si="10"/>
        <v>0</v>
      </c>
      <c r="C38" s="48">
        <f t="shared" si="13"/>
        <v>0</v>
      </c>
      <c r="D38" s="48">
        <f t="shared" si="11"/>
        <v>0</v>
      </c>
      <c r="E38" s="48">
        <f t="shared" si="12"/>
        <v>0</v>
      </c>
      <c r="F38" s="22"/>
      <c r="G38" s="10"/>
    </row>
    <row r="39" spans="1:7" x14ac:dyDescent="0.2">
      <c r="A39" s="19">
        <v>34</v>
      </c>
      <c r="B39" s="48">
        <f t="shared" si="10"/>
        <v>0</v>
      </c>
      <c r="C39" s="48">
        <f t="shared" si="13"/>
        <v>0</v>
      </c>
      <c r="D39" s="48">
        <f t="shared" si="11"/>
        <v>0</v>
      </c>
      <c r="E39" s="48">
        <f t="shared" si="12"/>
        <v>0</v>
      </c>
      <c r="F39" s="22"/>
      <c r="G39" s="10"/>
    </row>
    <row r="40" spans="1:7" x14ac:dyDescent="0.2">
      <c r="A40" s="19">
        <v>35</v>
      </c>
      <c r="B40" s="48">
        <f t="shared" si="10"/>
        <v>0</v>
      </c>
      <c r="C40" s="48">
        <f t="shared" si="13"/>
        <v>0</v>
      </c>
      <c r="D40" s="48">
        <f t="shared" si="11"/>
        <v>0</v>
      </c>
      <c r="E40" s="48">
        <f t="shared" si="12"/>
        <v>0</v>
      </c>
      <c r="F40" s="22"/>
      <c r="G40" s="10"/>
    </row>
    <row r="41" spans="1:7" x14ac:dyDescent="0.2">
      <c r="A41" s="19">
        <v>36</v>
      </c>
      <c r="B41" s="48">
        <f t="shared" si="10"/>
        <v>0</v>
      </c>
      <c r="C41" s="48">
        <f t="shared" si="13"/>
        <v>0</v>
      </c>
      <c r="D41" s="48">
        <f t="shared" si="11"/>
        <v>0</v>
      </c>
      <c r="E41" s="48">
        <f>IF($B$2=36,0,E40-B41)</f>
        <v>0</v>
      </c>
      <c r="F41" s="22"/>
      <c r="G41" s="10"/>
    </row>
    <row r="42" spans="1:7" x14ac:dyDescent="0.2">
      <c r="A42" s="18"/>
      <c r="B42" s="48">
        <f>IF($B$2=36,$B$1-B29-B16,SUM(B30:B41))</f>
        <v>0</v>
      </c>
      <c r="C42" s="48">
        <f t="shared" ref="C42:D42" si="14">SUM(C30:C41)</f>
        <v>0</v>
      </c>
      <c r="D42" s="48">
        <f t="shared" si="14"/>
        <v>0</v>
      </c>
      <c r="E42" s="48"/>
      <c r="F42" s="22"/>
      <c r="G42" s="10"/>
    </row>
    <row r="43" spans="1:7" x14ac:dyDescent="0.2">
      <c r="A43" s="19">
        <v>37</v>
      </c>
      <c r="B43" s="48">
        <f t="shared" ref="B43:B54" si="15">D43-C43</f>
        <v>0</v>
      </c>
      <c r="C43" s="48">
        <f>ROUND($E$1*E41,0)</f>
        <v>0</v>
      </c>
      <c r="D43" s="48">
        <f>IF($B$2&gt;=48,$E$2,0)</f>
        <v>0</v>
      </c>
      <c r="E43" s="48">
        <f>E41-B43</f>
        <v>0</v>
      </c>
      <c r="F43" s="22"/>
      <c r="G43" s="10"/>
    </row>
    <row r="44" spans="1:7" x14ac:dyDescent="0.2">
      <c r="A44" s="19">
        <v>38</v>
      </c>
      <c r="B44" s="48">
        <f t="shared" si="15"/>
        <v>0</v>
      </c>
      <c r="C44" s="48">
        <f>ROUND($E$1*E43,0)</f>
        <v>0</v>
      </c>
      <c r="D44" s="48">
        <f t="shared" ref="D44:D54" si="16">IF($B$2&gt;=48,$E$2,0)</f>
        <v>0</v>
      </c>
      <c r="E44" s="48">
        <f t="shared" ref="E44:E53" si="17">E43-B44</f>
        <v>0</v>
      </c>
      <c r="F44" s="22"/>
      <c r="G44" s="10"/>
    </row>
    <row r="45" spans="1:7" x14ac:dyDescent="0.2">
      <c r="A45" s="19">
        <v>39</v>
      </c>
      <c r="B45" s="48">
        <f t="shared" si="15"/>
        <v>0</v>
      </c>
      <c r="C45" s="48">
        <f>ROUND($E$1*E44,0)</f>
        <v>0</v>
      </c>
      <c r="D45" s="48">
        <f t="shared" si="16"/>
        <v>0</v>
      </c>
      <c r="E45" s="48">
        <f t="shared" si="17"/>
        <v>0</v>
      </c>
      <c r="F45" s="22"/>
      <c r="G45" s="10"/>
    </row>
    <row r="46" spans="1:7" x14ac:dyDescent="0.2">
      <c r="A46" s="19">
        <v>40</v>
      </c>
      <c r="B46" s="48">
        <f t="shared" si="15"/>
        <v>0</v>
      </c>
      <c r="C46" s="48">
        <f t="shared" ref="C46:C54" si="18">ROUND($E$1*E45,0)</f>
        <v>0</v>
      </c>
      <c r="D46" s="48">
        <f t="shared" si="16"/>
        <v>0</v>
      </c>
      <c r="E46" s="48">
        <f t="shared" si="17"/>
        <v>0</v>
      </c>
      <c r="F46" s="22"/>
      <c r="G46" s="10"/>
    </row>
    <row r="47" spans="1:7" x14ac:dyDescent="0.2">
      <c r="A47" s="19">
        <v>41</v>
      </c>
      <c r="B47" s="48">
        <f t="shared" si="15"/>
        <v>0</v>
      </c>
      <c r="C47" s="48">
        <f t="shared" si="18"/>
        <v>0</v>
      </c>
      <c r="D47" s="48">
        <f t="shared" si="16"/>
        <v>0</v>
      </c>
      <c r="E47" s="48">
        <f t="shared" si="17"/>
        <v>0</v>
      </c>
      <c r="F47" s="22"/>
      <c r="G47" s="10"/>
    </row>
    <row r="48" spans="1:7" x14ac:dyDescent="0.2">
      <c r="A48" s="19">
        <v>42</v>
      </c>
      <c r="B48" s="48">
        <f t="shared" si="15"/>
        <v>0</v>
      </c>
      <c r="C48" s="48">
        <f t="shared" si="18"/>
        <v>0</v>
      </c>
      <c r="D48" s="48">
        <f t="shared" si="16"/>
        <v>0</v>
      </c>
      <c r="E48" s="48">
        <f t="shared" si="17"/>
        <v>0</v>
      </c>
      <c r="F48" s="22"/>
      <c r="G48" s="10"/>
    </row>
    <row r="49" spans="1:7" x14ac:dyDescent="0.2">
      <c r="A49" s="19">
        <v>43</v>
      </c>
      <c r="B49" s="48">
        <f t="shared" si="15"/>
        <v>0</v>
      </c>
      <c r="C49" s="48">
        <f t="shared" si="18"/>
        <v>0</v>
      </c>
      <c r="D49" s="48">
        <f t="shared" si="16"/>
        <v>0</v>
      </c>
      <c r="E49" s="48">
        <f t="shared" si="17"/>
        <v>0</v>
      </c>
      <c r="F49" s="22"/>
      <c r="G49" s="10"/>
    </row>
    <row r="50" spans="1:7" x14ac:dyDescent="0.2">
      <c r="A50" s="19">
        <v>44</v>
      </c>
      <c r="B50" s="48">
        <f t="shared" si="15"/>
        <v>0</v>
      </c>
      <c r="C50" s="48">
        <f t="shared" si="18"/>
        <v>0</v>
      </c>
      <c r="D50" s="48">
        <f t="shared" si="16"/>
        <v>0</v>
      </c>
      <c r="E50" s="48">
        <f t="shared" si="17"/>
        <v>0</v>
      </c>
      <c r="F50" s="22"/>
      <c r="G50" s="10"/>
    </row>
    <row r="51" spans="1:7" x14ac:dyDescent="0.2">
      <c r="A51" s="19">
        <v>45</v>
      </c>
      <c r="B51" s="48">
        <f t="shared" si="15"/>
        <v>0</v>
      </c>
      <c r="C51" s="48">
        <f t="shared" si="18"/>
        <v>0</v>
      </c>
      <c r="D51" s="48">
        <f t="shared" si="16"/>
        <v>0</v>
      </c>
      <c r="E51" s="48">
        <f t="shared" si="17"/>
        <v>0</v>
      </c>
      <c r="F51" s="22"/>
      <c r="G51" s="10"/>
    </row>
    <row r="52" spans="1:7" x14ac:dyDescent="0.2">
      <c r="A52" s="19">
        <v>46</v>
      </c>
      <c r="B52" s="48">
        <f t="shared" si="15"/>
        <v>0</v>
      </c>
      <c r="C52" s="48">
        <f t="shared" si="18"/>
        <v>0</v>
      </c>
      <c r="D52" s="48">
        <f t="shared" si="16"/>
        <v>0</v>
      </c>
      <c r="E52" s="48">
        <f t="shared" si="17"/>
        <v>0</v>
      </c>
      <c r="F52" s="22"/>
      <c r="G52" s="10"/>
    </row>
    <row r="53" spans="1:7" x14ac:dyDescent="0.2">
      <c r="A53" s="19">
        <v>47</v>
      </c>
      <c r="B53" s="48">
        <f t="shared" si="15"/>
        <v>0</v>
      </c>
      <c r="C53" s="48">
        <f t="shared" si="18"/>
        <v>0</v>
      </c>
      <c r="D53" s="48">
        <f t="shared" si="16"/>
        <v>0</v>
      </c>
      <c r="E53" s="48">
        <f t="shared" si="17"/>
        <v>0</v>
      </c>
      <c r="F53" s="22"/>
      <c r="G53" s="10"/>
    </row>
    <row r="54" spans="1:7" x14ac:dyDescent="0.2">
      <c r="A54" s="19">
        <v>48</v>
      </c>
      <c r="B54" s="48">
        <f t="shared" si="15"/>
        <v>0</v>
      </c>
      <c r="C54" s="48">
        <f t="shared" si="18"/>
        <v>0</v>
      </c>
      <c r="D54" s="48">
        <f t="shared" si="16"/>
        <v>0</v>
      </c>
      <c r="E54" s="48">
        <f>IF($B$2=48,0,E53-B54)</f>
        <v>0</v>
      </c>
      <c r="F54" s="22"/>
      <c r="G54" s="10"/>
    </row>
    <row r="55" spans="1:7" x14ac:dyDescent="0.2">
      <c r="A55" s="18"/>
      <c r="B55" s="48">
        <f>IF($B$2=48,$B$1-B42-B29-B16,SUM(B43:B54))</f>
        <v>0</v>
      </c>
      <c r="C55" s="48">
        <f t="shared" ref="C55:D55" si="19">SUM(C43:C54)</f>
        <v>0</v>
      </c>
      <c r="D55" s="48">
        <f t="shared" si="19"/>
        <v>0</v>
      </c>
      <c r="E55" s="48"/>
      <c r="F55" s="22"/>
      <c r="G55" s="10"/>
    </row>
    <row r="56" spans="1:7" x14ac:dyDescent="0.2">
      <c r="A56" s="19">
        <v>49</v>
      </c>
      <c r="B56" s="48">
        <f t="shared" ref="B56:B67" si="20">D56-C56</f>
        <v>0</v>
      </c>
      <c r="C56" s="48">
        <f>ROUND($E$1*E54,0)</f>
        <v>0</v>
      </c>
      <c r="D56" s="48">
        <f>IF($B$2=60,$E$2,0)</f>
        <v>0</v>
      </c>
      <c r="E56" s="48">
        <f>E54-B56</f>
        <v>0</v>
      </c>
      <c r="F56" s="10"/>
      <c r="G56" s="10"/>
    </row>
    <row r="57" spans="1:7" x14ac:dyDescent="0.2">
      <c r="A57" s="19">
        <v>50</v>
      </c>
      <c r="B57" s="48">
        <f t="shared" si="20"/>
        <v>0</v>
      </c>
      <c r="C57" s="48">
        <f>ROUND($E$1*E56,0)</f>
        <v>0</v>
      </c>
      <c r="D57" s="48">
        <f t="shared" ref="D57:D67" si="21">IF($B$2=60,$E$2,0)</f>
        <v>0</v>
      </c>
      <c r="E57" s="48">
        <f>E56-B57</f>
        <v>0</v>
      </c>
    </row>
    <row r="58" spans="1:7" x14ac:dyDescent="0.2">
      <c r="A58" s="19">
        <v>51</v>
      </c>
      <c r="B58" s="48">
        <f t="shared" si="20"/>
        <v>0</v>
      </c>
      <c r="C58" s="48">
        <f>ROUND($E$1*E57,0)</f>
        <v>0</v>
      </c>
      <c r="D58" s="48">
        <f t="shared" si="21"/>
        <v>0</v>
      </c>
      <c r="E58" s="48">
        <f>E57-B58</f>
        <v>0</v>
      </c>
    </row>
    <row r="59" spans="1:7" x14ac:dyDescent="0.2">
      <c r="A59" s="19">
        <v>52</v>
      </c>
      <c r="B59" s="48">
        <f t="shared" si="20"/>
        <v>0</v>
      </c>
      <c r="C59" s="48">
        <f t="shared" ref="C59:C67" si="22">ROUND($E$1*E58,0)</f>
        <v>0</v>
      </c>
      <c r="D59" s="48">
        <f t="shared" si="21"/>
        <v>0</v>
      </c>
      <c r="E59" s="48">
        <f t="shared" ref="E59:E66" si="23">E58-B59</f>
        <v>0</v>
      </c>
    </row>
    <row r="60" spans="1:7" x14ac:dyDescent="0.2">
      <c r="A60" s="19">
        <v>53</v>
      </c>
      <c r="B60" s="48">
        <f t="shared" si="20"/>
        <v>0</v>
      </c>
      <c r="C60" s="48">
        <f t="shared" si="22"/>
        <v>0</v>
      </c>
      <c r="D60" s="48">
        <f t="shared" si="21"/>
        <v>0</v>
      </c>
      <c r="E60" s="48">
        <f t="shared" si="23"/>
        <v>0</v>
      </c>
    </row>
    <row r="61" spans="1:7" x14ac:dyDescent="0.2">
      <c r="A61" s="19">
        <v>54</v>
      </c>
      <c r="B61" s="48">
        <f t="shared" si="20"/>
        <v>0</v>
      </c>
      <c r="C61" s="48">
        <f t="shared" si="22"/>
        <v>0</v>
      </c>
      <c r="D61" s="48">
        <f t="shared" si="21"/>
        <v>0</v>
      </c>
      <c r="E61" s="48">
        <f t="shared" si="23"/>
        <v>0</v>
      </c>
    </row>
    <row r="62" spans="1:7" x14ac:dyDescent="0.2">
      <c r="A62" s="19">
        <v>55</v>
      </c>
      <c r="B62" s="48">
        <f t="shared" si="20"/>
        <v>0</v>
      </c>
      <c r="C62" s="48">
        <f t="shared" si="22"/>
        <v>0</v>
      </c>
      <c r="D62" s="48">
        <f t="shared" si="21"/>
        <v>0</v>
      </c>
      <c r="E62" s="48">
        <f t="shared" si="23"/>
        <v>0</v>
      </c>
    </row>
    <row r="63" spans="1:7" x14ac:dyDescent="0.2">
      <c r="A63" s="19">
        <v>56</v>
      </c>
      <c r="B63" s="48">
        <f t="shared" si="20"/>
        <v>0</v>
      </c>
      <c r="C63" s="48">
        <f t="shared" si="22"/>
        <v>0</v>
      </c>
      <c r="D63" s="48">
        <f t="shared" si="21"/>
        <v>0</v>
      </c>
      <c r="E63" s="48">
        <f t="shared" si="23"/>
        <v>0</v>
      </c>
    </row>
    <row r="64" spans="1:7" x14ac:dyDescent="0.2">
      <c r="A64" s="19">
        <v>57</v>
      </c>
      <c r="B64" s="48">
        <f t="shared" si="20"/>
        <v>0</v>
      </c>
      <c r="C64" s="48">
        <f t="shared" si="22"/>
        <v>0</v>
      </c>
      <c r="D64" s="48">
        <f t="shared" si="21"/>
        <v>0</v>
      </c>
      <c r="E64" s="48">
        <f t="shared" si="23"/>
        <v>0</v>
      </c>
    </row>
    <row r="65" spans="1:5" x14ac:dyDescent="0.2">
      <c r="A65" s="19">
        <v>58</v>
      </c>
      <c r="B65" s="48">
        <f t="shared" si="20"/>
        <v>0</v>
      </c>
      <c r="C65" s="48">
        <f t="shared" si="22"/>
        <v>0</v>
      </c>
      <c r="D65" s="48">
        <f t="shared" si="21"/>
        <v>0</v>
      </c>
      <c r="E65" s="48">
        <f t="shared" si="23"/>
        <v>0</v>
      </c>
    </row>
    <row r="66" spans="1:5" x14ac:dyDescent="0.2">
      <c r="A66" s="19">
        <v>59</v>
      </c>
      <c r="B66" s="48">
        <f t="shared" si="20"/>
        <v>0</v>
      </c>
      <c r="C66" s="48">
        <f t="shared" si="22"/>
        <v>0</v>
      </c>
      <c r="D66" s="48">
        <f t="shared" si="21"/>
        <v>0</v>
      </c>
      <c r="E66" s="48">
        <f t="shared" si="23"/>
        <v>0</v>
      </c>
    </row>
    <row r="67" spans="1:5" x14ac:dyDescent="0.2">
      <c r="A67" s="19">
        <v>60</v>
      </c>
      <c r="B67" s="48">
        <f t="shared" si="20"/>
        <v>0</v>
      </c>
      <c r="C67" s="48">
        <f t="shared" si="22"/>
        <v>0</v>
      </c>
      <c r="D67" s="48">
        <f t="shared" si="21"/>
        <v>0</v>
      </c>
      <c r="E67" s="48">
        <f>IF($B$2=60,0,E66-B67)</f>
        <v>0</v>
      </c>
    </row>
    <row r="68" spans="1:5" x14ac:dyDescent="0.2">
      <c r="A68" s="18"/>
      <c r="B68" s="48">
        <f>IF($B$2=48,$B$1-B55-B42-B29-B16,SUM(B56:B67))</f>
        <v>0</v>
      </c>
      <c r="C68" s="48">
        <f t="shared" ref="C68:D68" si="24">SUM(C56:C67)</f>
        <v>0</v>
      </c>
      <c r="D68" s="48">
        <f t="shared" si="24"/>
        <v>0</v>
      </c>
      <c r="E68" s="48"/>
    </row>
    <row r="69" spans="1:5" x14ac:dyDescent="0.2">
      <c r="B69" s="108">
        <f>IF(B2=60,B1,SUM(B16,B29,B42,B55,B68))</f>
        <v>0</v>
      </c>
    </row>
  </sheetData>
  <sheetProtection sheet="1" objects="1" scenarios="1"/>
  <mergeCells count="2">
    <mergeCell ref="C1:D1"/>
    <mergeCell ref="C2:D2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Hoja5"/>
  <dimension ref="A1:L114"/>
  <sheetViews>
    <sheetView showGridLines="0" topLeftCell="A80" zoomScaleNormal="100" workbookViewId="0">
      <selection activeCell="D86" sqref="D86"/>
    </sheetView>
  </sheetViews>
  <sheetFormatPr baseColWidth="10" defaultColWidth="11.42578125" defaultRowHeight="12.75" x14ac:dyDescent="0.2"/>
  <cols>
    <col min="1" max="1" width="11.42578125" style="14"/>
    <col min="2" max="2" width="39.7109375" style="14" customWidth="1"/>
    <col min="3" max="3" width="15.7109375" style="14" customWidth="1"/>
    <col min="4" max="4" width="14.7109375" style="14" customWidth="1"/>
    <col min="5" max="5" width="13" style="14" customWidth="1"/>
    <col min="6" max="8" width="13.140625" style="14" customWidth="1"/>
    <col min="9" max="9" width="16.7109375" style="14" customWidth="1"/>
    <col min="10" max="10" width="20.7109375" style="14" customWidth="1"/>
    <col min="11" max="11" width="15.7109375" style="14" customWidth="1"/>
    <col min="12" max="12" width="24.140625" style="14" customWidth="1"/>
    <col min="13" max="13" width="19.5703125" style="14" customWidth="1"/>
    <col min="14" max="14" width="14.140625" style="14" customWidth="1"/>
    <col min="15" max="16384" width="11.42578125" style="14"/>
  </cols>
  <sheetData>
    <row r="1" spans="2:12" x14ac:dyDescent="0.2">
      <c r="B1" s="15" t="s">
        <v>177</v>
      </c>
      <c r="J1" s="15" t="s">
        <v>189</v>
      </c>
    </row>
    <row r="2" spans="2:12" x14ac:dyDescent="0.2">
      <c r="B2" s="47" t="s">
        <v>122</v>
      </c>
      <c r="C2" s="47" t="s">
        <v>136</v>
      </c>
      <c r="D2" s="47">
        <f>EST.TÉCNICO!B24</f>
        <v>0</v>
      </c>
      <c r="E2" s="47">
        <f>EST.TÉCNICO!B25</f>
        <v>0</v>
      </c>
      <c r="F2" s="47">
        <f>EST.TÉCNICO!B26</f>
        <v>0</v>
      </c>
      <c r="G2" s="47">
        <f>EST.TÉCNICO!B27</f>
        <v>0</v>
      </c>
      <c r="H2" s="47">
        <f>EST.TÉCNICO!B28</f>
        <v>0</v>
      </c>
      <c r="J2" s="47" t="s">
        <v>122</v>
      </c>
      <c r="K2" s="47" t="s">
        <v>136</v>
      </c>
      <c r="L2" s="47" t="s">
        <v>187</v>
      </c>
    </row>
    <row r="3" spans="2:12" x14ac:dyDescent="0.2">
      <c r="B3" s="1" t="s">
        <v>124</v>
      </c>
      <c r="C3" s="41"/>
      <c r="D3" s="48">
        <f>EST.TÉCNICO!$C24</f>
        <v>0</v>
      </c>
      <c r="E3" s="48">
        <f>EST.TÉCNICO!$C25</f>
        <v>0</v>
      </c>
      <c r="F3" s="48">
        <f>EST.TÉCNICO!$C26</f>
        <v>0</v>
      </c>
      <c r="G3" s="48">
        <f>EST.TÉCNICO!$C27</f>
        <v>0</v>
      </c>
      <c r="H3" s="48">
        <f>EST.TÉCNICO!$C28</f>
        <v>0</v>
      </c>
      <c r="J3" s="1" t="s">
        <v>124</v>
      </c>
      <c r="K3" s="41"/>
      <c r="L3" s="48">
        <f>EST.TÉCNICO!C23</f>
        <v>0</v>
      </c>
    </row>
    <row r="4" spans="2:12" x14ac:dyDescent="0.2">
      <c r="B4" s="1" t="s">
        <v>125</v>
      </c>
      <c r="C4" s="41"/>
      <c r="D4" s="48">
        <f>EST.TÉCNICO!$D24</f>
        <v>0</v>
      </c>
      <c r="E4" s="48">
        <f>EST.TÉCNICO!$D25</f>
        <v>0</v>
      </c>
      <c r="F4" s="48">
        <f>EST.TÉCNICO!$D26</f>
        <v>0</v>
      </c>
      <c r="G4" s="48">
        <f>EST.TÉCNICO!$D27</f>
        <v>0</v>
      </c>
      <c r="H4" s="48">
        <f>EST.TÉCNICO!$D28</f>
        <v>0</v>
      </c>
      <c r="J4" s="1" t="s">
        <v>125</v>
      </c>
      <c r="K4" s="41"/>
      <c r="L4" s="48">
        <f>EST.TÉCNICO!D23</f>
        <v>0</v>
      </c>
    </row>
    <row r="5" spans="2:12" x14ac:dyDescent="0.2">
      <c r="B5" s="1" t="s">
        <v>126</v>
      </c>
      <c r="C5" s="84">
        <v>8.3330000000000001E-2</v>
      </c>
      <c r="D5" s="48">
        <f>SUM(D$3:D$4)*$C$5</f>
        <v>0</v>
      </c>
      <c r="E5" s="48">
        <f t="shared" ref="E5:H5" si="0">SUM(E$3:E$4)*$C$5</f>
        <v>0</v>
      </c>
      <c r="F5" s="48">
        <f t="shared" si="0"/>
        <v>0</v>
      </c>
      <c r="G5" s="48">
        <f t="shared" si="0"/>
        <v>0</v>
      </c>
      <c r="H5" s="48">
        <f t="shared" si="0"/>
        <v>0</v>
      </c>
      <c r="J5" s="1" t="s">
        <v>126</v>
      </c>
      <c r="K5" s="84">
        <v>8.3330000000000001E-2</v>
      </c>
      <c r="L5" s="48">
        <f>SUM($L$3:$L$4)*K5</f>
        <v>0</v>
      </c>
    </row>
    <row r="6" spans="2:12" x14ac:dyDescent="0.2">
      <c r="B6" s="1" t="s">
        <v>127</v>
      </c>
      <c r="C6" s="84">
        <v>0.01</v>
      </c>
      <c r="D6" s="48">
        <f>SUM(D$3:D$4)*$C$6</f>
        <v>0</v>
      </c>
      <c r="E6" s="48">
        <f t="shared" ref="E6:H6" si="1">SUM(E$3:E$4)*$C$6</f>
        <v>0</v>
      </c>
      <c r="F6" s="48">
        <f t="shared" si="1"/>
        <v>0</v>
      </c>
      <c r="G6" s="48">
        <f t="shared" si="1"/>
        <v>0</v>
      </c>
      <c r="H6" s="48">
        <f t="shared" si="1"/>
        <v>0</v>
      </c>
      <c r="J6" s="1" t="s">
        <v>127</v>
      </c>
      <c r="K6" s="84">
        <v>0.01</v>
      </c>
      <c r="L6" s="48">
        <f t="shared" ref="L6:L8" si="2">SUM($L$3:$L$4)*K6</f>
        <v>0</v>
      </c>
    </row>
    <row r="7" spans="2:12" x14ac:dyDescent="0.2">
      <c r="B7" s="1" t="s">
        <v>128</v>
      </c>
      <c r="C7" s="84">
        <v>8.3330000000000001E-2</v>
      </c>
      <c r="D7" s="48">
        <f>SUM(D$3:D$4)*$C$7</f>
        <v>0</v>
      </c>
      <c r="E7" s="48">
        <f t="shared" ref="E7:H7" si="3">SUM(E$3:E$4)*$C$7</f>
        <v>0</v>
      </c>
      <c r="F7" s="48">
        <f t="shared" si="3"/>
        <v>0</v>
      </c>
      <c r="G7" s="48">
        <f t="shared" si="3"/>
        <v>0</v>
      </c>
      <c r="H7" s="48">
        <f t="shared" si="3"/>
        <v>0</v>
      </c>
      <c r="J7" s="1" t="s">
        <v>128</v>
      </c>
      <c r="K7" s="84">
        <v>8.3330000000000001E-2</v>
      </c>
      <c r="L7" s="48">
        <f t="shared" si="2"/>
        <v>0</v>
      </c>
    </row>
    <row r="8" spans="2:12" x14ac:dyDescent="0.2">
      <c r="B8" s="1" t="s">
        <v>129</v>
      </c>
      <c r="C8" s="84">
        <f>C5/2</f>
        <v>4.1665000000000001E-2</v>
      </c>
      <c r="D8" s="48">
        <f>SUM(D$3:D$4)*$C$8</f>
        <v>0</v>
      </c>
      <c r="E8" s="48">
        <f t="shared" ref="E8:H8" si="4">SUM(E$3:E$4)*$C$8</f>
        <v>0</v>
      </c>
      <c r="F8" s="48">
        <f t="shared" si="4"/>
        <v>0</v>
      </c>
      <c r="G8" s="48">
        <f t="shared" si="4"/>
        <v>0</v>
      </c>
      <c r="H8" s="48">
        <f t="shared" si="4"/>
        <v>0</v>
      </c>
      <c r="J8" s="1" t="s">
        <v>129</v>
      </c>
      <c r="K8" s="84">
        <f>K5/2</f>
        <v>4.1665000000000001E-2</v>
      </c>
      <c r="L8" s="48">
        <f t="shared" si="2"/>
        <v>0</v>
      </c>
    </row>
    <row r="9" spans="2:12" x14ac:dyDescent="0.2">
      <c r="B9" s="1" t="s">
        <v>130</v>
      </c>
      <c r="C9" s="84">
        <v>8.5000000000000006E-2</v>
      </c>
      <c r="D9" s="48">
        <f>D3*$C9</f>
        <v>0</v>
      </c>
      <c r="E9" s="48">
        <f t="shared" ref="E9:H9" si="5">E3*$C9</f>
        <v>0</v>
      </c>
      <c r="F9" s="48">
        <f t="shared" si="5"/>
        <v>0</v>
      </c>
      <c r="G9" s="48">
        <f t="shared" si="5"/>
        <v>0</v>
      </c>
      <c r="H9" s="48">
        <f t="shared" si="5"/>
        <v>0</v>
      </c>
      <c r="J9" s="1" t="s">
        <v>130</v>
      </c>
      <c r="K9" s="84">
        <v>8.5000000000000006E-2</v>
      </c>
      <c r="L9" s="48">
        <f>L3*$C9</f>
        <v>0</v>
      </c>
    </row>
    <row r="10" spans="2:12" x14ac:dyDescent="0.2">
      <c r="B10" s="1" t="s">
        <v>131</v>
      </c>
      <c r="C10" s="84">
        <v>0.12</v>
      </c>
      <c r="D10" s="48">
        <f>D3*$C10</f>
        <v>0</v>
      </c>
      <c r="E10" s="48">
        <f t="shared" ref="E10:H10" si="6">E3*$C10</f>
        <v>0</v>
      </c>
      <c r="F10" s="48">
        <f t="shared" si="6"/>
        <v>0</v>
      </c>
      <c r="G10" s="48">
        <f t="shared" si="6"/>
        <v>0</v>
      </c>
      <c r="H10" s="48">
        <f t="shared" si="6"/>
        <v>0</v>
      </c>
      <c r="J10" s="1" t="s">
        <v>131</v>
      </c>
      <c r="K10" s="84">
        <v>0.12</v>
      </c>
      <c r="L10" s="48">
        <f>L3*$C10</f>
        <v>0</v>
      </c>
    </row>
    <row r="11" spans="2:12" x14ac:dyDescent="0.2">
      <c r="B11" s="1" t="s">
        <v>132</v>
      </c>
      <c r="C11" s="84">
        <v>5.0000000000000001E-3</v>
      </c>
      <c r="D11" s="48">
        <f>D3*$C11</f>
        <v>0</v>
      </c>
      <c r="E11" s="48">
        <f t="shared" ref="E11:H11" si="7">E3*$C11</f>
        <v>0</v>
      </c>
      <c r="F11" s="48">
        <f t="shared" si="7"/>
        <v>0</v>
      </c>
      <c r="G11" s="48">
        <f t="shared" si="7"/>
        <v>0</v>
      </c>
      <c r="H11" s="48">
        <f t="shared" si="7"/>
        <v>0</v>
      </c>
      <c r="J11" s="1" t="s">
        <v>132</v>
      </c>
      <c r="K11" s="84">
        <v>5.0000000000000001E-3</v>
      </c>
      <c r="L11" s="48">
        <f>L3*$C11</f>
        <v>0</v>
      </c>
    </row>
    <row r="12" spans="2:12" x14ac:dyDescent="0.2">
      <c r="B12" s="1" t="s">
        <v>134</v>
      </c>
      <c r="C12" s="84">
        <v>0.02</v>
      </c>
      <c r="D12" s="48">
        <f>D3*$C12</f>
        <v>0</v>
      </c>
      <c r="E12" s="48">
        <f t="shared" ref="E12:H12" si="8">E3*$C12</f>
        <v>0</v>
      </c>
      <c r="F12" s="48">
        <f t="shared" si="8"/>
        <v>0</v>
      </c>
      <c r="G12" s="48">
        <f t="shared" si="8"/>
        <v>0</v>
      </c>
      <c r="H12" s="48">
        <f t="shared" si="8"/>
        <v>0</v>
      </c>
      <c r="J12" s="1" t="s">
        <v>134</v>
      </c>
      <c r="K12" s="84">
        <v>0.02</v>
      </c>
      <c r="L12" s="48">
        <f>L3*$C12</f>
        <v>0</v>
      </c>
    </row>
    <row r="13" spans="2:12" x14ac:dyDescent="0.2">
      <c r="B13" s="1" t="s">
        <v>133</v>
      </c>
      <c r="C13" s="84">
        <v>0.03</v>
      </c>
      <c r="D13" s="48">
        <f>D3*$C13</f>
        <v>0</v>
      </c>
      <c r="E13" s="48">
        <f t="shared" ref="E13:H13" si="9">E3*$C13</f>
        <v>0</v>
      </c>
      <c r="F13" s="48">
        <f t="shared" si="9"/>
        <v>0</v>
      </c>
      <c r="G13" s="48">
        <f t="shared" si="9"/>
        <v>0</v>
      </c>
      <c r="H13" s="48">
        <f t="shared" si="9"/>
        <v>0</v>
      </c>
      <c r="J13" s="1" t="s">
        <v>133</v>
      </c>
      <c r="K13" s="84">
        <v>0.03</v>
      </c>
      <c r="L13" s="48">
        <f>L3*$C13</f>
        <v>0</v>
      </c>
    </row>
    <row r="14" spans="2:12" x14ac:dyDescent="0.2">
      <c r="B14" s="1" t="s">
        <v>135</v>
      </c>
      <c r="C14" s="84">
        <v>0.04</v>
      </c>
      <c r="D14" s="48">
        <f>D3*$C14</f>
        <v>0</v>
      </c>
      <c r="E14" s="48">
        <f t="shared" ref="E14:H14" si="10">E3*$C14</f>
        <v>0</v>
      </c>
      <c r="F14" s="48">
        <f t="shared" si="10"/>
        <v>0</v>
      </c>
      <c r="G14" s="48">
        <f t="shared" si="10"/>
        <v>0</v>
      </c>
      <c r="H14" s="48">
        <f t="shared" si="10"/>
        <v>0</v>
      </c>
      <c r="J14" s="1" t="s">
        <v>135</v>
      </c>
      <c r="K14" s="84">
        <v>0.04</v>
      </c>
      <c r="L14" s="48">
        <f>L3*$C14</f>
        <v>0</v>
      </c>
    </row>
    <row r="15" spans="2:12" x14ac:dyDescent="0.2">
      <c r="B15" s="1" t="s">
        <v>137</v>
      </c>
      <c r="C15" s="84">
        <v>0.05</v>
      </c>
      <c r="D15" s="48">
        <f>D3*$C15</f>
        <v>0</v>
      </c>
      <c r="E15" s="48">
        <f t="shared" ref="E15:H15" si="11">E3*$C15</f>
        <v>0</v>
      </c>
      <c r="F15" s="48">
        <f t="shared" si="11"/>
        <v>0</v>
      </c>
      <c r="G15" s="48">
        <f t="shared" si="11"/>
        <v>0</v>
      </c>
      <c r="H15" s="48">
        <f t="shared" si="11"/>
        <v>0</v>
      </c>
      <c r="J15" s="1" t="s">
        <v>137</v>
      </c>
      <c r="K15" s="84">
        <v>0.05</v>
      </c>
      <c r="L15" s="48">
        <f>L3*$C15</f>
        <v>0</v>
      </c>
    </row>
    <row r="16" spans="2:12" x14ac:dyDescent="0.2">
      <c r="B16" s="1" t="s">
        <v>138</v>
      </c>
      <c r="C16" s="41"/>
      <c r="D16" s="48">
        <f>SUM(D3:D15)</f>
        <v>0</v>
      </c>
      <c r="E16" s="48">
        <f t="shared" ref="E16:H16" si="12">SUM(E3:E15)</f>
        <v>0</v>
      </c>
      <c r="F16" s="48">
        <f t="shared" si="12"/>
        <v>0</v>
      </c>
      <c r="G16" s="48">
        <f t="shared" si="12"/>
        <v>0</v>
      </c>
      <c r="H16" s="48">
        <f t="shared" si="12"/>
        <v>0</v>
      </c>
      <c r="J16" s="1" t="s">
        <v>138</v>
      </c>
      <c r="K16" s="41"/>
      <c r="L16" s="48">
        <f>SUM(L3:L15)</f>
        <v>0</v>
      </c>
    </row>
    <row r="17" spans="2:12" x14ac:dyDescent="0.2">
      <c r="B17" s="13" t="s">
        <v>178</v>
      </c>
      <c r="C17" s="13"/>
      <c r="D17" s="114">
        <f>EST.TÉCNICO!G24</f>
        <v>0</v>
      </c>
      <c r="E17" s="114">
        <f>EST.TÉCNICO!G25</f>
        <v>0</v>
      </c>
      <c r="F17" s="114">
        <f>EST.TÉCNICO!G26</f>
        <v>0</v>
      </c>
      <c r="G17" s="114">
        <f>EST.TÉCNICO!G27</f>
        <v>0</v>
      </c>
      <c r="H17" s="114">
        <f>EST.TÉCNICO!G28</f>
        <v>0</v>
      </c>
      <c r="J17" s="13" t="s">
        <v>188</v>
      </c>
      <c r="K17" s="48"/>
      <c r="L17" s="48">
        <f>L16*12</f>
        <v>0</v>
      </c>
    </row>
    <row r="18" spans="2:12" x14ac:dyDescent="0.2">
      <c r="B18" s="13" t="s">
        <v>179</v>
      </c>
      <c r="C18" s="48">
        <f>SUM(D18:H18)</f>
        <v>0</v>
      </c>
      <c r="D18" s="48">
        <f>D16*12*D17</f>
        <v>0</v>
      </c>
      <c r="E18" s="48">
        <f t="shared" ref="E18:H18" si="13">E16*12*E17</f>
        <v>0</v>
      </c>
      <c r="F18" s="48">
        <f t="shared" si="13"/>
        <v>0</v>
      </c>
      <c r="G18" s="48">
        <f t="shared" si="13"/>
        <v>0</v>
      </c>
      <c r="H18" s="48">
        <f t="shared" si="13"/>
        <v>0</v>
      </c>
    </row>
    <row r="20" spans="2:12" x14ac:dyDescent="0.2">
      <c r="B20" s="27" t="s">
        <v>149</v>
      </c>
      <c r="C20" s="26"/>
    </row>
    <row r="21" spans="2:12" ht="25.5" x14ac:dyDescent="0.2">
      <c r="B21" s="57" t="s">
        <v>152</v>
      </c>
      <c r="C21" s="58" t="s">
        <v>151</v>
      </c>
      <c r="D21" s="58" t="s">
        <v>153</v>
      </c>
      <c r="E21" s="58" t="s">
        <v>180</v>
      </c>
      <c r="F21" s="58" t="s">
        <v>181</v>
      </c>
      <c r="G21" s="89"/>
      <c r="H21" s="89"/>
    </row>
    <row r="22" spans="2:12" x14ac:dyDescent="0.2">
      <c r="B22" s="1">
        <f>EST.TÉCNICO!B33</f>
        <v>0</v>
      </c>
      <c r="C22" s="1">
        <f>EST.TÉCNICO!C33</f>
        <v>0</v>
      </c>
      <c r="D22" s="13">
        <f>EST.TÉCNICO!E33</f>
        <v>0</v>
      </c>
      <c r="E22" s="72"/>
      <c r="F22" s="48">
        <f>D22*E22</f>
        <v>0</v>
      </c>
      <c r="G22" s="88"/>
      <c r="H22" s="88"/>
    </row>
    <row r="23" spans="2:12" x14ac:dyDescent="0.2">
      <c r="B23" s="1">
        <f>EST.TÉCNICO!B34</f>
        <v>0</v>
      </c>
      <c r="C23" s="1">
        <f>EST.TÉCNICO!C34</f>
        <v>0</v>
      </c>
      <c r="D23" s="13">
        <f>EST.TÉCNICO!E34</f>
        <v>0</v>
      </c>
      <c r="E23" s="72"/>
      <c r="F23" s="48">
        <f t="shared" ref="F23:F41" si="14">D23*E23</f>
        <v>0</v>
      </c>
      <c r="G23" s="88"/>
      <c r="H23" s="88"/>
    </row>
    <row r="24" spans="2:12" x14ac:dyDescent="0.2">
      <c r="B24" s="1">
        <f>EST.TÉCNICO!B35</f>
        <v>0</v>
      </c>
      <c r="C24" s="1">
        <f>EST.TÉCNICO!C35</f>
        <v>0</v>
      </c>
      <c r="D24" s="13">
        <f>EST.TÉCNICO!E35</f>
        <v>0</v>
      </c>
      <c r="E24" s="72"/>
      <c r="F24" s="48">
        <f t="shared" si="14"/>
        <v>0</v>
      </c>
      <c r="G24" s="88"/>
      <c r="H24" s="88"/>
    </row>
    <row r="25" spans="2:12" x14ac:dyDescent="0.2">
      <c r="B25" s="1">
        <f>EST.TÉCNICO!B36</f>
        <v>0</v>
      </c>
      <c r="C25" s="1">
        <f>EST.TÉCNICO!C36</f>
        <v>0</v>
      </c>
      <c r="D25" s="13">
        <f>EST.TÉCNICO!E36</f>
        <v>0</v>
      </c>
      <c r="E25" s="72"/>
      <c r="F25" s="48">
        <f t="shared" si="14"/>
        <v>0</v>
      </c>
      <c r="G25" s="88"/>
      <c r="H25" s="88"/>
    </row>
    <row r="26" spans="2:12" x14ac:dyDescent="0.2">
      <c r="B26" s="1">
        <f>EST.TÉCNICO!B37</f>
        <v>0</v>
      </c>
      <c r="C26" s="1">
        <f>EST.TÉCNICO!C37</f>
        <v>0</v>
      </c>
      <c r="D26" s="13">
        <f>EST.TÉCNICO!E37</f>
        <v>0</v>
      </c>
      <c r="E26" s="72"/>
      <c r="F26" s="48">
        <f t="shared" si="14"/>
        <v>0</v>
      </c>
      <c r="G26" s="88"/>
      <c r="H26" s="88"/>
    </row>
    <row r="27" spans="2:12" x14ac:dyDescent="0.2">
      <c r="B27" s="1">
        <f>EST.TÉCNICO!B38</f>
        <v>0</v>
      </c>
      <c r="C27" s="1">
        <f>EST.TÉCNICO!C38</f>
        <v>0</v>
      </c>
      <c r="D27" s="13">
        <f>EST.TÉCNICO!E38</f>
        <v>0</v>
      </c>
      <c r="E27" s="72"/>
      <c r="F27" s="48">
        <f t="shared" si="14"/>
        <v>0</v>
      </c>
      <c r="G27" s="88"/>
      <c r="H27" s="88"/>
    </row>
    <row r="28" spans="2:12" x14ac:dyDescent="0.2">
      <c r="B28" s="1">
        <f>EST.TÉCNICO!B39</f>
        <v>0</v>
      </c>
      <c r="C28" s="1">
        <f>EST.TÉCNICO!C39</f>
        <v>0</v>
      </c>
      <c r="D28" s="13">
        <f>EST.TÉCNICO!E39</f>
        <v>0</v>
      </c>
      <c r="E28" s="72"/>
      <c r="F28" s="48">
        <f t="shared" si="14"/>
        <v>0</v>
      </c>
      <c r="G28" s="88"/>
      <c r="H28" s="88"/>
    </row>
    <row r="29" spans="2:12" x14ac:dyDescent="0.2">
      <c r="B29" s="1">
        <f>EST.TÉCNICO!B40</f>
        <v>0</v>
      </c>
      <c r="C29" s="1">
        <f>EST.TÉCNICO!C40</f>
        <v>0</v>
      </c>
      <c r="D29" s="13">
        <f>EST.TÉCNICO!E40</f>
        <v>0</v>
      </c>
      <c r="E29" s="72"/>
      <c r="F29" s="48">
        <f t="shared" si="14"/>
        <v>0</v>
      </c>
      <c r="G29" s="88"/>
      <c r="H29" s="88"/>
    </row>
    <row r="30" spans="2:12" x14ac:dyDescent="0.2">
      <c r="B30" s="1">
        <f>EST.TÉCNICO!B41</f>
        <v>0</v>
      </c>
      <c r="C30" s="1">
        <f>EST.TÉCNICO!C41</f>
        <v>0</v>
      </c>
      <c r="D30" s="13">
        <f>EST.TÉCNICO!E41</f>
        <v>0</v>
      </c>
      <c r="E30" s="72"/>
      <c r="F30" s="48">
        <f t="shared" si="14"/>
        <v>0</v>
      </c>
      <c r="G30" s="88"/>
      <c r="H30" s="88"/>
    </row>
    <row r="31" spans="2:12" x14ac:dyDescent="0.2">
      <c r="B31" s="1">
        <f>EST.TÉCNICO!B42</f>
        <v>0</v>
      </c>
      <c r="C31" s="1">
        <f>EST.TÉCNICO!C42</f>
        <v>0</v>
      </c>
      <c r="D31" s="13">
        <f>EST.TÉCNICO!E42</f>
        <v>0</v>
      </c>
      <c r="E31" s="72"/>
      <c r="F31" s="48">
        <f t="shared" si="14"/>
        <v>0</v>
      </c>
      <c r="G31" s="88"/>
      <c r="H31" s="88"/>
    </row>
    <row r="32" spans="2:12" x14ac:dyDescent="0.2">
      <c r="B32" s="1">
        <f>EST.TÉCNICO!B43</f>
        <v>0</v>
      </c>
      <c r="C32" s="1">
        <f>EST.TÉCNICO!C43</f>
        <v>0</v>
      </c>
      <c r="D32" s="13">
        <f>EST.TÉCNICO!E43</f>
        <v>0</v>
      </c>
      <c r="E32" s="72"/>
      <c r="F32" s="48">
        <f t="shared" si="14"/>
        <v>0</v>
      </c>
      <c r="G32" s="88"/>
      <c r="H32" s="88"/>
    </row>
    <row r="33" spans="2:8" x14ac:dyDescent="0.2">
      <c r="B33" s="1">
        <f>EST.TÉCNICO!B44</f>
        <v>0</v>
      </c>
      <c r="C33" s="1">
        <f>EST.TÉCNICO!C44</f>
        <v>0</v>
      </c>
      <c r="D33" s="13">
        <f>EST.TÉCNICO!E44</f>
        <v>0</v>
      </c>
      <c r="E33" s="72"/>
      <c r="F33" s="48">
        <f t="shared" si="14"/>
        <v>0</v>
      </c>
      <c r="G33" s="88"/>
      <c r="H33" s="88"/>
    </row>
    <row r="34" spans="2:8" x14ac:dyDescent="0.2">
      <c r="B34" s="1">
        <f>EST.TÉCNICO!B45</f>
        <v>0</v>
      </c>
      <c r="C34" s="1">
        <f>EST.TÉCNICO!C45</f>
        <v>0</v>
      </c>
      <c r="D34" s="13">
        <f>EST.TÉCNICO!E45</f>
        <v>0</v>
      </c>
      <c r="E34" s="72"/>
      <c r="F34" s="48">
        <f t="shared" si="14"/>
        <v>0</v>
      </c>
      <c r="G34" s="88"/>
      <c r="H34" s="88"/>
    </row>
    <row r="35" spans="2:8" x14ac:dyDescent="0.2">
      <c r="B35" s="1">
        <f>EST.TÉCNICO!B46</f>
        <v>0</v>
      </c>
      <c r="C35" s="1">
        <f>EST.TÉCNICO!C46</f>
        <v>0</v>
      </c>
      <c r="D35" s="13">
        <f>EST.TÉCNICO!E46</f>
        <v>0</v>
      </c>
      <c r="E35" s="72"/>
      <c r="F35" s="48">
        <f t="shared" si="14"/>
        <v>0</v>
      </c>
      <c r="G35" s="88"/>
      <c r="H35" s="88"/>
    </row>
    <row r="36" spans="2:8" x14ac:dyDescent="0.2">
      <c r="B36" s="1">
        <f>EST.TÉCNICO!B47</f>
        <v>0</v>
      </c>
      <c r="C36" s="1">
        <f>EST.TÉCNICO!C47</f>
        <v>0</v>
      </c>
      <c r="D36" s="13">
        <f>EST.TÉCNICO!E47</f>
        <v>0</v>
      </c>
      <c r="E36" s="72"/>
      <c r="F36" s="48">
        <f t="shared" si="14"/>
        <v>0</v>
      </c>
      <c r="G36" s="88"/>
      <c r="H36" s="88"/>
    </row>
    <row r="37" spans="2:8" x14ac:dyDescent="0.2">
      <c r="B37" s="1">
        <f>EST.TÉCNICO!B48</f>
        <v>0</v>
      </c>
      <c r="C37" s="1">
        <f>EST.TÉCNICO!C48</f>
        <v>0</v>
      </c>
      <c r="D37" s="13">
        <f>EST.TÉCNICO!E48</f>
        <v>0</v>
      </c>
      <c r="E37" s="72"/>
      <c r="F37" s="48">
        <f t="shared" si="14"/>
        <v>0</v>
      </c>
      <c r="G37" s="88"/>
      <c r="H37" s="88"/>
    </row>
    <row r="38" spans="2:8" x14ac:dyDescent="0.2">
      <c r="B38" s="1">
        <f>EST.TÉCNICO!B49</f>
        <v>0</v>
      </c>
      <c r="C38" s="1">
        <f>EST.TÉCNICO!C49</f>
        <v>0</v>
      </c>
      <c r="D38" s="13">
        <f>EST.TÉCNICO!E49</f>
        <v>0</v>
      </c>
      <c r="E38" s="72"/>
      <c r="F38" s="48">
        <f>D38*E38</f>
        <v>0</v>
      </c>
      <c r="G38" s="88"/>
      <c r="H38" s="88"/>
    </row>
    <row r="39" spans="2:8" x14ac:dyDescent="0.2">
      <c r="B39" s="1">
        <f>EST.TÉCNICO!B50</f>
        <v>0</v>
      </c>
      <c r="C39" s="1">
        <f>EST.TÉCNICO!C50</f>
        <v>0</v>
      </c>
      <c r="D39" s="13">
        <f>EST.TÉCNICO!E50</f>
        <v>0</v>
      </c>
      <c r="E39" s="72"/>
      <c r="F39" s="48">
        <f t="shared" si="14"/>
        <v>0</v>
      </c>
      <c r="G39" s="88"/>
      <c r="H39" s="88"/>
    </row>
    <row r="40" spans="2:8" x14ac:dyDescent="0.2">
      <c r="B40" s="1">
        <f>EST.TÉCNICO!B51</f>
        <v>0</v>
      </c>
      <c r="C40" s="1">
        <f>EST.TÉCNICO!C51</f>
        <v>0</v>
      </c>
      <c r="D40" s="13">
        <f>EST.TÉCNICO!E51</f>
        <v>0</v>
      </c>
      <c r="E40" s="72"/>
      <c r="F40" s="48">
        <f t="shared" si="14"/>
        <v>0</v>
      </c>
      <c r="G40" s="88"/>
      <c r="H40" s="88"/>
    </row>
    <row r="41" spans="2:8" x14ac:dyDescent="0.2">
      <c r="B41" s="1">
        <f>EST.TÉCNICO!B52</f>
        <v>0</v>
      </c>
      <c r="C41" s="1">
        <f>EST.TÉCNICO!C52</f>
        <v>0</v>
      </c>
      <c r="D41" s="13">
        <f>EST.TÉCNICO!E52</f>
        <v>0</v>
      </c>
      <c r="E41" s="72"/>
      <c r="F41" s="48">
        <f t="shared" si="14"/>
        <v>0</v>
      </c>
      <c r="G41" s="88"/>
      <c r="H41" s="88"/>
    </row>
    <row r="42" spans="2:8" x14ac:dyDescent="0.2">
      <c r="B42" s="131" t="s">
        <v>194</v>
      </c>
      <c r="C42" s="131"/>
      <c r="D42" s="131"/>
      <c r="E42" s="131"/>
      <c r="F42" s="48">
        <f>SUM(F22:F41)</f>
        <v>0</v>
      </c>
      <c r="G42" s="88"/>
      <c r="H42" s="88"/>
    </row>
    <row r="43" spans="2:8" x14ac:dyDescent="0.2">
      <c r="B43" s="25"/>
      <c r="C43" s="25"/>
    </row>
    <row r="44" spans="2:8" x14ac:dyDescent="0.2">
      <c r="B44" s="25"/>
      <c r="C44" s="26"/>
    </row>
    <row r="45" spans="2:8" x14ac:dyDescent="0.2">
      <c r="B45" s="27" t="s">
        <v>99</v>
      </c>
      <c r="C45" s="26"/>
    </row>
    <row r="46" spans="2:8" ht="25.5" x14ac:dyDescent="0.2">
      <c r="B46" s="57" t="s">
        <v>152</v>
      </c>
      <c r="C46" s="58" t="s">
        <v>151</v>
      </c>
      <c r="D46" s="58" t="s">
        <v>153</v>
      </c>
      <c r="E46" s="58" t="s">
        <v>180</v>
      </c>
      <c r="F46" s="58" t="s">
        <v>181</v>
      </c>
      <c r="G46" s="89"/>
      <c r="H46" s="89"/>
    </row>
    <row r="47" spans="2:8" x14ac:dyDescent="0.2">
      <c r="B47" s="1">
        <f>EST.TÉCNICO!B58</f>
        <v>0</v>
      </c>
      <c r="C47" s="1">
        <f>EST.TÉCNICO!C58</f>
        <v>0</v>
      </c>
      <c r="D47" s="13">
        <f>EST.TÉCNICO!E58</f>
        <v>0</v>
      </c>
      <c r="E47" s="72"/>
      <c r="F47" s="48">
        <f t="shared" ref="F47:F54" si="15">D47*E47</f>
        <v>0</v>
      </c>
      <c r="G47" s="88"/>
      <c r="H47" s="88"/>
    </row>
    <row r="48" spans="2:8" x14ac:dyDescent="0.2">
      <c r="B48" s="1">
        <f>EST.TÉCNICO!B59</f>
        <v>0</v>
      </c>
      <c r="C48" s="1">
        <f>EST.TÉCNICO!C59</f>
        <v>0</v>
      </c>
      <c r="D48" s="13">
        <f>EST.TÉCNICO!E59</f>
        <v>0</v>
      </c>
      <c r="E48" s="72"/>
      <c r="F48" s="48">
        <f t="shared" si="15"/>
        <v>0</v>
      </c>
      <c r="G48" s="88"/>
      <c r="H48" s="88"/>
    </row>
    <row r="49" spans="1:8" x14ac:dyDescent="0.2">
      <c r="B49" s="1">
        <f>EST.TÉCNICO!B60</f>
        <v>0</v>
      </c>
      <c r="C49" s="1">
        <f>EST.TÉCNICO!C60</f>
        <v>0</v>
      </c>
      <c r="D49" s="13">
        <f>EST.TÉCNICO!E60</f>
        <v>0</v>
      </c>
      <c r="E49" s="72"/>
      <c r="F49" s="48">
        <f t="shared" si="15"/>
        <v>0</v>
      </c>
      <c r="G49" s="88"/>
      <c r="H49" s="88"/>
    </row>
    <row r="50" spans="1:8" x14ac:dyDescent="0.2">
      <c r="B50" s="1">
        <f>EST.TÉCNICO!B61</f>
        <v>0</v>
      </c>
      <c r="C50" s="1">
        <f>EST.TÉCNICO!C61</f>
        <v>0</v>
      </c>
      <c r="D50" s="13">
        <f>EST.TÉCNICO!E61</f>
        <v>0</v>
      </c>
      <c r="E50" s="72"/>
      <c r="F50" s="48">
        <f t="shared" si="15"/>
        <v>0</v>
      </c>
      <c r="G50" s="88"/>
      <c r="H50" s="88"/>
    </row>
    <row r="51" spans="1:8" x14ac:dyDescent="0.2">
      <c r="B51" s="1">
        <f>EST.TÉCNICO!B62</f>
        <v>0</v>
      </c>
      <c r="C51" s="1">
        <f>EST.TÉCNICO!C62</f>
        <v>0</v>
      </c>
      <c r="D51" s="13">
        <f>EST.TÉCNICO!E62</f>
        <v>0</v>
      </c>
      <c r="E51" s="72"/>
      <c r="F51" s="48">
        <f t="shared" si="15"/>
        <v>0</v>
      </c>
      <c r="G51" s="88"/>
      <c r="H51" s="88"/>
    </row>
    <row r="52" spans="1:8" x14ac:dyDescent="0.2">
      <c r="B52" s="1">
        <f>EST.TÉCNICO!B63</f>
        <v>0</v>
      </c>
      <c r="C52" s="1">
        <f>EST.TÉCNICO!C63</f>
        <v>0</v>
      </c>
      <c r="D52" s="13">
        <f>EST.TÉCNICO!E63</f>
        <v>0</v>
      </c>
      <c r="E52" s="72"/>
      <c r="F52" s="48">
        <f t="shared" si="15"/>
        <v>0</v>
      </c>
      <c r="G52" s="88"/>
      <c r="H52" s="88"/>
    </row>
    <row r="53" spans="1:8" x14ac:dyDescent="0.2">
      <c r="B53" s="1">
        <f>EST.TÉCNICO!B64</f>
        <v>0</v>
      </c>
      <c r="C53" s="1">
        <f>EST.TÉCNICO!C64</f>
        <v>0</v>
      </c>
      <c r="D53" s="13">
        <f>EST.TÉCNICO!E64</f>
        <v>0</v>
      </c>
      <c r="E53" s="72"/>
      <c r="F53" s="48">
        <f t="shared" si="15"/>
        <v>0</v>
      </c>
      <c r="G53" s="88"/>
      <c r="H53" s="88"/>
    </row>
    <row r="54" spans="1:8" x14ac:dyDescent="0.2">
      <c r="B54" s="1">
        <f>EST.TÉCNICO!B65</f>
        <v>0</v>
      </c>
      <c r="C54" s="1">
        <f>EST.TÉCNICO!C65</f>
        <v>0</v>
      </c>
      <c r="D54" s="13">
        <f>EST.TÉCNICO!E65</f>
        <v>0</v>
      </c>
      <c r="E54" s="72"/>
      <c r="F54" s="48">
        <f t="shared" si="15"/>
        <v>0</v>
      </c>
      <c r="G54" s="88"/>
      <c r="H54" s="88"/>
    </row>
    <row r="55" spans="1:8" x14ac:dyDescent="0.2">
      <c r="B55" s="1">
        <f>EST.TÉCNICO!B66</f>
        <v>0</v>
      </c>
      <c r="C55" s="1">
        <f>EST.TÉCNICO!C66</f>
        <v>0</v>
      </c>
      <c r="D55" s="13">
        <f>EST.TÉCNICO!E66</f>
        <v>0</v>
      </c>
      <c r="E55" s="72"/>
      <c r="F55" s="48">
        <f t="shared" ref="F55:F61" si="16">D55*E55</f>
        <v>0</v>
      </c>
      <c r="G55" s="88"/>
      <c r="H55" s="88"/>
    </row>
    <row r="56" spans="1:8" x14ac:dyDescent="0.2">
      <c r="B56" s="1">
        <f>EST.TÉCNICO!B67</f>
        <v>0</v>
      </c>
      <c r="C56" s="1">
        <f>EST.TÉCNICO!C67</f>
        <v>0</v>
      </c>
      <c r="D56" s="13">
        <f>EST.TÉCNICO!E67</f>
        <v>0</v>
      </c>
      <c r="E56" s="72"/>
      <c r="F56" s="48">
        <f t="shared" si="16"/>
        <v>0</v>
      </c>
      <c r="G56" s="88"/>
      <c r="H56" s="88"/>
    </row>
    <row r="57" spans="1:8" x14ac:dyDescent="0.2">
      <c r="B57" s="1">
        <f>EST.TÉCNICO!B68</f>
        <v>0</v>
      </c>
      <c r="C57" s="1">
        <f>EST.TÉCNICO!C68</f>
        <v>0</v>
      </c>
      <c r="D57" s="13">
        <f>EST.TÉCNICO!E68</f>
        <v>0</v>
      </c>
      <c r="E57" s="72"/>
      <c r="F57" s="48">
        <f t="shared" si="16"/>
        <v>0</v>
      </c>
      <c r="G57" s="88"/>
      <c r="H57" s="88"/>
    </row>
    <row r="58" spans="1:8" x14ac:dyDescent="0.2">
      <c r="A58" s="4"/>
      <c r="B58" s="1">
        <f>EST.TÉCNICO!B69</f>
        <v>0</v>
      </c>
      <c r="C58" s="1">
        <f>EST.TÉCNICO!C69</f>
        <v>0</v>
      </c>
      <c r="D58" s="13">
        <f>EST.TÉCNICO!E69</f>
        <v>0</v>
      </c>
      <c r="E58" s="72"/>
      <c r="F58" s="48">
        <f t="shared" si="16"/>
        <v>0</v>
      </c>
      <c r="G58" s="88"/>
      <c r="H58" s="88"/>
    </row>
    <row r="59" spans="1:8" x14ac:dyDescent="0.2">
      <c r="B59" s="1">
        <f>EST.TÉCNICO!B70</f>
        <v>0</v>
      </c>
      <c r="C59" s="1">
        <f>EST.TÉCNICO!C70</f>
        <v>0</v>
      </c>
      <c r="D59" s="13">
        <f>EST.TÉCNICO!E70</f>
        <v>0</v>
      </c>
      <c r="E59" s="72"/>
      <c r="F59" s="48">
        <f t="shared" si="16"/>
        <v>0</v>
      </c>
      <c r="G59" s="88"/>
      <c r="H59" s="88"/>
    </row>
    <row r="60" spans="1:8" x14ac:dyDescent="0.2">
      <c r="B60" s="1">
        <f>EST.TÉCNICO!B71</f>
        <v>0</v>
      </c>
      <c r="C60" s="1">
        <f>EST.TÉCNICO!C71</f>
        <v>0</v>
      </c>
      <c r="D60" s="13">
        <f>EST.TÉCNICO!E71</f>
        <v>0</v>
      </c>
      <c r="E60" s="72"/>
      <c r="F60" s="48">
        <f t="shared" si="16"/>
        <v>0</v>
      </c>
      <c r="G60" s="88"/>
      <c r="H60" s="88"/>
    </row>
    <row r="61" spans="1:8" x14ac:dyDescent="0.2">
      <c r="B61" s="1">
        <f>EST.TÉCNICO!B72</f>
        <v>0</v>
      </c>
      <c r="C61" s="1">
        <f>EST.TÉCNICO!C72</f>
        <v>0</v>
      </c>
      <c r="D61" s="13">
        <f>EST.TÉCNICO!E72</f>
        <v>0</v>
      </c>
      <c r="E61" s="72"/>
      <c r="F61" s="48">
        <f t="shared" si="16"/>
        <v>0</v>
      </c>
      <c r="G61" s="88"/>
      <c r="H61" s="88"/>
    </row>
    <row r="62" spans="1:8" x14ac:dyDescent="0.2">
      <c r="B62" s="131" t="s">
        <v>193</v>
      </c>
      <c r="C62" s="131"/>
      <c r="D62" s="131"/>
      <c r="E62" s="131"/>
      <c r="F62" s="48">
        <f>SUM(F47:F61)</f>
        <v>0</v>
      </c>
      <c r="G62" s="88"/>
      <c r="H62" s="88"/>
    </row>
    <row r="64" spans="1:8" x14ac:dyDescent="0.2">
      <c r="B64" s="15" t="s">
        <v>182</v>
      </c>
    </row>
    <row r="65" spans="2:5" ht="25.5" x14ac:dyDescent="0.2">
      <c r="B65" s="67" t="s">
        <v>316</v>
      </c>
      <c r="C65" s="67" t="s">
        <v>317</v>
      </c>
      <c r="D65" s="67" t="s">
        <v>318</v>
      </c>
      <c r="E65" s="67" t="s">
        <v>191</v>
      </c>
    </row>
    <row r="66" spans="2:5" x14ac:dyDescent="0.2">
      <c r="B66" s="13" t="s">
        <v>79</v>
      </c>
      <c r="C66" s="80"/>
      <c r="D66" s="43">
        <f>1-C66</f>
        <v>1</v>
      </c>
      <c r="E66" s="72"/>
    </row>
    <row r="67" spans="2:5" x14ac:dyDescent="0.2">
      <c r="B67" s="13" t="s">
        <v>183</v>
      </c>
      <c r="C67" s="80"/>
      <c r="D67" s="43">
        <f t="shared" ref="D67:D74" si="17">1-C67</f>
        <v>1</v>
      </c>
      <c r="E67" s="72"/>
    </row>
    <row r="68" spans="2:5" x14ac:dyDescent="0.2">
      <c r="B68" s="13" t="s">
        <v>184</v>
      </c>
      <c r="C68" s="80"/>
      <c r="D68" s="43">
        <f t="shared" si="17"/>
        <v>1</v>
      </c>
      <c r="E68" s="72"/>
    </row>
    <row r="69" spans="2:5" x14ac:dyDescent="0.2">
      <c r="B69" s="13" t="s">
        <v>185</v>
      </c>
      <c r="C69" s="80"/>
      <c r="D69" s="43">
        <f t="shared" si="17"/>
        <v>1</v>
      </c>
      <c r="E69" s="72"/>
    </row>
    <row r="70" spans="2:5" x14ac:dyDescent="0.2">
      <c r="B70" s="13" t="s">
        <v>83</v>
      </c>
      <c r="C70" s="80"/>
      <c r="D70" s="43">
        <f>1-C70</f>
        <v>1</v>
      </c>
      <c r="E70" s="72"/>
    </row>
    <row r="71" spans="2:5" x14ac:dyDescent="0.2">
      <c r="B71" s="13" t="s">
        <v>373</v>
      </c>
      <c r="C71" s="80"/>
      <c r="D71" s="43">
        <f>1-C71</f>
        <v>1</v>
      </c>
      <c r="E71" s="48">
        <f>(INVERSIÓN!I7-INVERSIÓN!J7)/60</f>
        <v>0</v>
      </c>
    </row>
    <row r="72" spans="2:5" x14ac:dyDescent="0.2">
      <c r="B72" s="13" t="s">
        <v>382</v>
      </c>
      <c r="C72" s="80"/>
      <c r="D72" s="43">
        <f>1-C72</f>
        <v>1</v>
      </c>
      <c r="E72" s="72"/>
    </row>
    <row r="73" spans="2:5" x14ac:dyDescent="0.2">
      <c r="B73" s="13" t="s">
        <v>84</v>
      </c>
      <c r="C73" s="80"/>
      <c r="D73" s="43">
        <f t="shared" si="17"/>
        <v>1</v>
      </c>
      <c r="E73" s="72"/>
    </row>
    <row r="74" spans="2:5" x14ac:dyDescent="0.2">
      <c r="B74" s="13" t="s">
        <v>186</v>
      </c>
      <c r="C74" s="80"/>
      <c r="D74" s="43">
        <f t="shared" si="17"/>
        <v>1</v>
      </c>
      <c r="E74" s="72"/>
    </row>
    <row r="76" spans="2:5" x14ac:dyDescent="0.2">
      <c r="B76" s="15" t="s">
        <v>21</v>
      </c>
    </row>
    <row r="77" spans="2:5" x14ac:dyDescent="0.2">
      <c r="B77" s="17" t="s">
        <v>154</v>
      </c>
      <c r="C77" s="17" t="s">
        <v>191</v>
      </c>
      <c r="D77" s="17" t="s">
        <v>192</v>
      </c>
    </row>
    <row r="78" spans="2:5" x14ac:dyDescent="0.2">
      <c r="B78" s="13" t="s">
        <v>79</v>
      </c>
      <c r="C78" s="48">
        <f>C66*E66</f>
        <v>0</v>
      </c>
      <c r="D78" s="48">
        <f>C78*12</f>
        <v>0</v>
      </c>
    </row>
    <row r="79" spans="2:5" x14ac:dyDescent="0.2">
      <c r="B79" s="13" t="s">
        <v>186</v>
      </c>
      <c r="C79" s="48">
        <f>C74*E74</f>
        <v>0</v>
      </c>
      <c r="D79" s="48">
        <f>C79*12</f>
        <v>0</v>
      </c>
    </row>
    <row r="80" spans="2:5" x14ac:dyDescent="0.2">
      <c r="B80" s="13" t="s">
        <v>83</v>
      </c>
      <c r="C80" s="48">
        <f>C70*E70</f>
        <v>0</v>
      </c>
      <c r="D80" s="48">
        <f>C80*12</f>
        <v>0</v>
      </c>
    </row>
    <row r="81" spans="2:4" x14ac:dyDescent="0.2">
      <c r="B81" s="13" t="s">
        <v>84</v>
      </c>
      <c r="C81" s="48">
        <f>C73*E73</f>
        <v>0</v>
      </c>
      <c r="D81" s="48">
        <f>C81*12</f>
        <v>0</v>
      </c>
    </row>
    <row r="82" spans="2:4" x14ac:dyDescent="0.2">
      <c r="B82" s="13" t="s">
        <v>183</v>
      </c>
      <c r="C82" s="72"/>
      <c r="D82" s="48">
        <f t="shared" ref="D82:D83" si="18">C82*12</f>
        <v>0</v>
      </c>
    </row>
    <row r="83" spans="2:4" x14ac:dyDescent="0.2">
      <c r="B83" s="13" t="s">
        <v>184</v>
      </c>
      <c r="C83" s="72"/>
      <c r="D83" s="48">
        <f t="shared" si="18"/>
        <v>0</v>
      </c>
    </row>
    <row r="84" spans="2:4" x14ac:dyDescent="0.2">
      <c r="B84" s="5" t="s">
        <v>190</v>
      </c>
      <c r="C84" s="48">
        <f>D84/12</f>
        <v>0</v>
      </c>
      <c r="D84" s="48">
        <f>L17</f>
        <v>0</v>
      </c>
    </row>
    <row r="85" spans="2:4" x14ac:dyDescent="0.2">
      <c r="B85" s="13" t="s">
        <v>382</v>
      </c>
      <c r="C85" s="48">
        <f>C72*E72</f>
        <v>0</v>
      </c>
      <c r="D85" s="48">
        <f>C85*12</f>
        <v>0</v>
      </c>
    </row>
    <row r="86" spans="2:4" x14ac:dyDescent="0.2">
      <c r="B86" s="5" t="s">
        <v>100</v>
      </c>
      <c r="C86" s="48">
        <f>D86/12</f>
        <v>0</v>
      </c>
      <c r="D86" s="48">
        <f>SUM(INVERSIÓN!E43,INVERSIÓN!E68,INVERSIÓN!E83,E71*12*C71)</f>
        <v>0</v>
      </c>
    </row>
    <row r="87" spans="2:4" x14ac:dyDescent="0.2">
      <c r="B87" s="72" t="s">
        <v>296</v>
      </c>
      <c r="C87" s="72">
        <v>0</v>
      </c>
      <c r="D87" s="48">
        <f>C87*12</f>
        <v>0</v>
      </c>
    </row>
    <row r="88" spans="2:4" x14ac:dyDescent="0.2">
      <c r="B88" s="44" t="s">
        <v>0</v>
      </c>
      <c r="C88" s="48">
        <f>SUM(C78:C87)</f>
        <v>0</v>
      </c>
      <c r="D88" s="48">
        <f>SUM(D78:D87)</f>
        <v>0</v>
      </c>
    </row>
    <row r="90" spans="2:4" x14ac:dyDescent="0.2">
      <c r="B90" s="15" t="s">
        <v>23</v>
      </c>
    </row>
    <row r="91" spans="2:4" x14ac:dyDescent="0.2">
      <c r="B91" s="17" t="s">
        <v>154</v>
      </c>
      <c r="C91" s="17" t="s">
        <v>191</v>
      </c>
      <c r="D91" s="17" t="s">
        <v>192</v>
      </c>
    </row>
    <row r="92" spans="2:4" x14ac:dyDescent="0.2">
      <c r="B92" s="12" t="s">
        <v>41</v>
      </c>
      <c r="C92" s="48">
        <f>D92/12</f>
        <v>0</v>
      </c>
      <c r="D92" s="48">
        <f>C18</f>
        <v>0</v>
      </c>
    </row>
    <row r="93" spans="2:4" x14ac:dyDescent="0.2">
      <c r="B93" s="12" t="s">
        <v>212</v>
      </c>
      <c r="C93" s="48">
        <f>D93/12</f>
        <v>0</v>
      </c>
      <c r="D93" s="48">
        <f>F42</f>
        <v>0</v>
      </c>
    </row>
    <row r="94" spans="2:4" x14ac:dyDescent="0.2">
      <c r="B94" s="13" t="s">
        <v>105</v>
      </c>
      <c r="C94" s="48">
        <f>D94/12</f>
        <v>0</v>
      </c>
      <c r="D94" s="48">
        <f>F62</f>
        <v>0</v>
      </c>
    </row>
    <row r="95" spans="2:4" x14ac:dyDescent="0.2">
      <c r="B95" s="13" t="s">
        <v>183</v>
      </c>
      <c r="C95" s="48">
        <f>C67*E67-C82</f>
        <v>0</v>
      </c>
      <c r="D95" s="48">
        <f>C95*12</f>
        <v>0</v>
      </c>
    </row>
    <row r="96" spans="2:4" x14ac:dyDescent="0.2">
      <c r="B96" s="13" t="s">
        <v>184</v>
      </c>
      <c r="C96" s="48">
        <f>C68*E68-C83</f>
        <v>0</v>
      </c>
      <c r="D96" s="48">
        <f t="shared" ref="D96" si="19">C96*12</f>
        <v>0</v>
      </c>
    </row>
    <row r="97" spans="2:7" x14ac:dyDescent="0.2">
      <c r="B97" s="13" t="s">
        <v>185</v>
      </c>
      <c r="C97" s="48">
        <f>C69*E69</f>
        <v>0</v>
      </c>
      <c r="D97" s="48">
        <f>C97*12</f>
        <v>0</v>
      </c>
    </row>
    <row r="98" spans="2:7" x14ac:dyDescent="0.2">
      <c r="B98" s="5" t="s">
        <v>106</v>
      </c>
      <c r="C98" s="72"/>
      <c r="D98" s="48">
        <f>C98*12</f>
        <v>0</v>
      </c>
      <c r="E98" s="122"/>
    </row>
    <row r="99" spans="2:7" x14ac:dyDescent="0.2">
      <c r="B99" s="13" t="s">
        <v>283</v>
      </c>
      <c r="C99" s="48">
        <f>D99/12</f>
        <v>0</v>
      </c>
      <c r="D99" s="48">
        <f>SUM(INVERSIÓN!I5:I9)*CTP!E99</f>
        <v>0</v>
      </c>
      <c r="E99" s="117"/>
    </row>
    <row r="100" spans="2:7" x14ac:dyDescent="0.2">
      <c r="B100" s="72" t="s">
        <v>296</v>
      </c>
      <c r="C100" s="72"/>
      <c r="D100" s="48">
        <f>C100*12</f>
        <v>0</v>
      </c>
    </row>
    <row r="101" spans="2:7" x14ac:dyDescent="0.2">
      <c r="B101" s="44" t="s">
        <v>0</v>
      </c>
      <c r="C101" s="48">
        <f>SUM(C92:C100)</f>
        <v>0</v>
      </c>
      <c r="D101" s="48">
        <f>SUM(D92:D100)</f>
        <v>0</v>
      </c>
    </row>
    <row r="103" spans="2:7" x14ac:dyDescent="0.2">
      <c r="B103" s="15" t="s">
        <v>39</v>
      </c>
      <c r="G103" s="106"/>
    </row>
    <row r="104" spans="2:7" x14ac:dyDescent="0.2">
      <c r="B104" s="17" t="s">
        <v>154</v>
      </c>
      <c r="C104" s="17" t="s">
        <v>191</v>
      </c>
      <c r="D104" s="17" t="s">
        <v>192</v>
      </c>
    </row>
    <row r="105" spans="2:7" x14ac:dyDescent="0.2">
      <c r="B105" s="5" t="s">
        <v>195</v>
      </c>
      <c r="C105" s="48">
        <f>D105/12</f>
        <v>0</v>
      </c>
      <c r="D105" s="48">
        <f>D88</f>
        <v>0</v>
      </c>
    </row>
    <row r="106" spans="2:7" x14ac:dyDescent="0.2">
      <c r="B106" s="13" t="s">
        <v>196</v>
      </c>
      <c r="C106" s="48">
        <f>D106/12</f>
        <v>0</v>
      </c>
      <c r="D106" s="48">
        <f>D101</f>
        <v>0</v>
      </c>
    </row>
    <row r="107" spans="2:7" x14ac:dyDescent="0.2">
      <c r="B107" s="44" t="s">
        <v>0</v>
      </c>
      <c r="C107" s="48">
        <f>SUM(C105:C106)</f>
        <v>0</v>
      </c>
      <c r="D107" s="48">
        <f>SUM(D105:D106)</f>
        <v>0</v>
      </c>
    </row>
    <row r="109" spans="2:7" x14ac:dyDescent="0.2">
      <c r="B109" s="83" t="s">
        <v>213</v>
      </c>
      <c r="C109" s="15">
        <f>SUM(D94:D99)</f>
        <v>0</v>
      </c>
    </row>
    <row r="110" spans="2:7" x14ac:dyDescent="0.2">
      <c r="B110" s="83" t="s">
        <v>214</v>
      </c>
      <c r="C110" s="15">
        <f>D88</f>
        <v>0</v>
      </c>
    </row>
    <row r="111" spans="2:7" x14ac:dyDescent="0.2">
      <c r="B111" s="83" t="s">
        <v>42</v>
      </c>
      <c r="C111" s="15">
        <f>SUM(C109:C110)</f>
        <v>0</v>
      </c>
    </row>
    <row r="112" spans="2:7" x14ac:dyDescent="0.2">
      <c r="C112" s="15"/>
    </row>
    <row r="113" spans="2:3" x14ac:dyDescent="0.2">
      <c r="B113" s="16"/>
      <c r="C113" s="116"/>
    </row>
    <row r="114" spans="2:3" x14ac:dyDescent="0.2">
      <c r="C114" s="15"/>
    </row>
  </sheetData>
  <sheetProtection sheet="1"/>
  <mergeCells count="2">
    <mergeCell ref="B42:E42"/>
    <mergeCell ref="B62:E62"/>
  </mergeCells>
  <pageMargins left="0.7" right="0.7" top="0.75" bottom="0.75" header="0.3" footer="0.3"/>
  <pageSetup paperSize="9" orientation="portrait" horizontalDpi="0" verticalDpi="0" r:id="rId1"/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Hoja7"/>
  <dimension ref="B1:P72"/>
  <sheetViews>
    <sheetView showGridLines="0" topLeftCell="A22" workbookViewId="0">
      <selection activeCell="D48" sqref="D48"/>
    </sheetView>
  </sheetViews>
  <sheetFormatPr baseColWidth="10" defaultColWidth="11.42578125" defaultRowHeight="12.75" x14ac:dyDescent="0.2"/>
  <cols>
    <col min="1" max="1" width="4.28515625" style="14" customWidth="1"/>
    <col min="2" max="2" width="36.42578125" style="14" customWidth="1"/>
    <col min="3" max="8" width="16" style="14" customWidth="1"/>
    <col min="9" max="9" width="20.140625" style="14" customWidth="1"/>
    <col min="10" max="10" width="33.85546875" style="14" customWidth="1"/>
    <col min="11" max="14" width="16" style="14" customWidth="1"/>
    <col min="15" max="16384" width="11.42578125" style="14"/>
  </cols>
  <sheetData>
    <row r="1" spans="2:16" x14ac:dyDescent="0.2">
      <c r="B1" s="15" t="s">
        <v>288</v>
      </c>
      <c r="J1" s="15" t="s">
        <v>287</v>
      </c>
    </row>
    <row r="2" spans="2:16" x14ac:dyDescent="0.2">
      <c r="B2" s="47" t="s">
        <v>122</v>
      </c>
      <c r="C2" s="47" t="s">
        <v>136</v>
      </c>
      <c r="D2" s="47">
        <f>EST.TÉCNICO!$B13</f>
        <v>0</v>
      </c>
      <c r="E2" s="47">
        <f>EST.TÉCNICO!$B14</f>
        <v>0</v>
      </c>
      <c r="F2" s="47">
        <f>EST.TÉCNICO!$B15</f>
        <v>0</v>
      </c>
      <c r="G2" s="47">
        <f>EST.TÉCNICO!$B16</f>
        <v>0</v>
      </c>
      <c r="H2" s="47">
        <f>EST.TÉCNICO!$B17</f>
        <v>0</v>
      </c>
      <c r="J2" s="47" t="s">
        <v>122</v>
      </c>
      <c r="K2" s="47" t="s">
        <v>136</v>
      </c>
      <c r="L2" s="47" t="str">
        <f>EST.TÉCNICO!$B18</f>
        <v>JEFE DE VENTAS</v>
      </c>
      <c r="M2" s="47">
        <f>EST.TÉCNICO!$B19</f>
        <v>0</v>
      </c>
      <c r="N2" s="47">
        <f>EST.TÉCNICO!$B20</f>
        <v>0</v>
      </c>
      <c r="O2" s="47">
        <f>EST.TÉCNICO!$B21</f>
        <v>0</v>
      </c>
      <c r="P2" s="47">
        <f>EST.TÉCNICO!$B22</f>
        <v>0</v>
      </c>
    </row>
    <row r="3" spans="2:16" x14ac:dyDescent="0.2">
      <c r="B3" s="1" t="s">
        <v>124</v>
      </c>
      <c r="C3" s="41"/>
      <c r="D3" s="48">
        <f>EST.TÉCNICO!$C13</f>
        <v>0</v>
      </c>
      <c r="E3" s="48">
        <f>EST.TÉCNICO!$C14</f>
        <v>0</v>
      </c>
      <c r="F3" s="48">
        <f>EST.TÉCNICO!$C15</f>
        <v>0</v>
      </c>
      <c r="G3" s="48">
        <f>EST.TÉCNICO!$C16</f>
        <v>0</v>
      </c>
      <c r="H3" s="48">
        <f>EST.TÉCNICO!$C17</f>
        <v>0</v>
      </c>
      <c r="J3" s="1" t="s">
        <v>124</v>
      </c>
      <c r="K3" s="41"/>
      <c r="L3" s="48">
        <f>EST.TÉCNICO!$C18</f>
        <v>0</v>
      </c>
      <c r="M3" s="48">
        <f>EST.TÉCNICO!$C19</f>
        <v>0</v>
      </c>
      <c r="N3" s="48">
        <f>EST.TÉCNICO!$C20</f>
        <v>0</v>
      </c>
      <c r="O3" s="48">
        <f>EST.TÉCNICO!$C21</f>
        <v>0</v>
      </c>
      <c r="P3" s="48">
        <f>EST.TÉCNICO!$C22</f>
        <v>0</v>
      </c>
    </row>
    <row r="4" spans="2:16" x14ac:dyDescent="0.2">
      <c r="B4" s="1" t="s">
        <v>125</v>
      </c>
      <c r="C4" s="41"/>
      <c r="D4" s="48">
        <f>EST.TÉCNICO!$D13</f>
        <v>0</v>
      </c>
      <c r="E4" s="48">
        <f>EST.TÉCNICO!$D14</f>
        <v>0</v>
      </c>
      <c r="F4" s="48">
        <f>EST.TÉCNICO!$D15</f>
        <v>0</v>
      </c>
      <c r="G4" s="48">
        <f>EST.TÉCNICO!$D16</f>
        <v>0</v>
      </c>
      <c r="H4" s="48">
        <f>EST.TÉCNICO!$D17</f>
        <v>0</v>
      </c>
      <c r="J4" s="1" t="s">
        <v>125</v>
      </c>
      <c r="K4" s="41"/>
      <c r="L4" s="48">
        <f>EST.TÉCNICO!$D18</f>
        <v>0</v>
      </c>
      <c r="M4" s="48">
        <f>EST.TÉCNICO!$D19</f>
        <v>0</v>
      </c>
      <c r="N4" s="48">
        <f>EST.TÉCNICO!$D20</f>
        <v>0</v>
      </c>
      <c r="O4" s="48">
        <f>EST.TÉCNICO!$D21</f>
        <v>0</v>
      </c>
      <c r="P4" s="48">
        <f>EST.TÉCNICO!$D22</f>
        <v>0</v>
      </c>
    </row>
    <row r="5" spans="2:16" x14ac:dyDescent="0.2">
      <c r="B5" s="1" t="s">
        <v>126</v>
      </c>
      <c r="C5" s="84">
        <v>8.3330000000000001E-2</v>
      </c>
      <c r="D5" s="48">
        <f>SUM($D$3:$D$4)*C5</f>
        <v>0</v>
      </c>
      <c r="E5" s="48">
        <f>SUM($E$3:$E$4)*C5</f>
        <v>0</v>
      </c>
      <c r="F5" s="48">
        <f>SUM($F$3:$F$4)*C5</f>
        <v>0</v>
      </c>
      <c r="G5" s="48">
        <f>SUM(G$3:G$4)*$C$5</f>
        <v>0</v>
      </c>
      <c r="H5" s="48">
        <f>SUM(H$3:H$4)*$C$5</f>
        <v>0</v>
      </c>
      <c r="J5" s="1" t="s">
        <v>126</v>
      </c>
      <c r="K5" s="84">
        <v>8.3330000000000001E-2</v>
      </c>
      <c r="L5" s="48">
        <f t="shared" ref="L5:M8" si="0">SUM(L$3:L$4)*$K5</f>
        <v>0</v>
      </c>
      <c r="M5" s="48">
        <f t="shared" si="0"/>
        <v>0</v>
      </c>
      <c r="N5" s="48">
        <f t="shared" ref="N5:O8" si="1">SUM(N$3:N$4)*$K5</f>
        <v>0</v>
      </c>
      <c r="O5" s="48">
        <f t="shared" si="1"/>
        <v>0</v>
      </c>
      <c r="P5" s="48">
        <f>SUM(P$3:P$4)*$K5</f>
        <v>0</v>
      </c>
    </row>
    <row r="6" spans="2:16" x14ac:dyDescent="0.2">
      <c r="B6" s="1" t="s">
        <v>127</v>
      </c>
      <c r="C6" s="84">
        <v>0.01</v>
      </c>
      <c r="D6" s="48">
        <f>SUM($D$3:$D$4)*C6</f>
        <v>0</v>
      </c>
      <c r="E6" s="48">
        <f>SUM($E$3:$E$4)*C6</f>
        <v>0</v>
      </c>
      <c r="F6" s="48">
        <f>SUM($F$3:$F$4)*C6</f>
        <v>0</v>
      </c>
      <c r="G6" s="48">
        <f>SUM(G$3:G$4)*$C$6</f>
        <v>0</v>
      </c>
      <c r="H6" s="48">
        <f>SUM(H$3:H$4)*$C$6</f>
        <v>0</v>
      </c>
      <c r="J6" s="1" t="s">
        <v>127</v>
      </c>
      <c r="K6" s="84">
        <v>0.01</v>
      </c>
      <c r="L6" s="48">
        <f t="shared" si="0"/>
        <v>0</v>
      </c>
      <c r="M6" s="48">
        <f t="shared" si="0"/>
        <v>0</v>
      </c>
      <c r="N6" s="48">
        <f t="shared" si="1"/>
        <v>0</v>
      </c>
      <c r="O6" s="48">
        <f t="shared" si="1"/>
        <v>0</v>
      </c>
      <c r="P6" s="48">
        <f>SUM(P$3:P$4)*$K6</f>
        <v>0</v>
      </c>
    </row>
    <row r="7" spans="2:16" x14ac:dyDescent="0.2">
      <c r="B7" s="1" t="s">
        <v>128</v>
      </c>
      <c r="C7" s="84">
        <v>8.3330000000000001E-2</v>
      </c>
      <c r="D7" s="48">
        <f t="shared" ref="D7:D8" si="2">SUM($D$3:$D$4)*C7</f>
        <v>0</v>
      </c>
      <c r="E7" s="48">
        <f t="shared" ref="E7:E8" si="3">SUM($E$3:$E$4)*C7</f>
        <v>0</v>
      </c>
      <c r="F7" s="48">
        <f>SUM($F$3:$F$4)*C7</f>
        <v>0</v>
      </c>
      <c r="G7" s="48">
        <f t="shared" ref="G7:H7" si="4">SUM(G$3:G$4)*$C$7</f>
        <v>0</v>
      </c>
      <c r="H7" s="48">
        <f t="shared" si="4"/>
        <v>0</v>
      </c>
      <c r="J7" s="1" t="s">
        <v>128</v>
      </c>
      <c r="K7" s="84">
        <v>8.3330000000000001E-2</v>
      </c>
      <c r="L7" s="48">
        <f t="shared" si="0"/>
        <v>0</v>
      </c>
      <c r="M7" s="48">
        <f t="shared" si="0"/>
        <v>0</v>
      </c>
      <c r="N7" s="48">
        <f t="shared" si="1"/>
        <v>0</v>
      </c>
      <c r="O7" s="48">
        <f t="shared" si="1"/>
        <v>0</v>
      </c>
      <c r="P7" s="48">
        <f>SUM(P$3:P$4)*$K7</f>
        <v>0</v>
      </c>
    </row>
    <row r="8" spans="2:16" x14ac:dyDescent="0.2">
      <c r="B8" s="1" t="s">
        <v>129</v>
      </c>
      <c r="C8" s="84">
        <f>C5/2</f>
        <v>4.1665000000000001E-2</v>
      </c>
      <c r="D8" s="48">
        <f t="shared" si="2"/>
        <v>0</v>
      </c>
      <c r="E8" s="48">
        <f t="shared" si="3"/>
        <v>0</v>
      </c>
      <c r="F8" s="48">
        <f t="shared" ref="F8" si="5">SUM($F$3:$F$4)*C8</f>
        <v>0</v>
      </c>
      <c r="G8" s="48">
        <f t="shared" ref="G8:H8" si="6">SUM(G$3:G$4)*$C$8</f>
        <v>0</v>
      </c>
      <c r="H8" s="48">
        <f t="shared" si="6"/>
        <v>0</v>
      </c>
      <c r="J8" s="1" t="s">
        <v>129</v>
      </c>
      <c r="K8" s="84">
        <f>K5/2</f>
        <v>4.1665000000000001E-2</v>
      </c>
      <c r="L8" s="48">
        <f t="shared" si="0"/>
        <v>0</v>
      </c>
      <c r="M8" s="48">
        <f t="shared" si="0"/>
        <v>0</v>
      </c>
      <c r="N8" s="48">
        <f t="shared" si="1"/>
        <v>0</v>
      </c>
      <c r="O8" s="48">
        <f t="shared" si="1"/>
        <v>0</v>
      </c>
      <c r="P8" s="48">
        <f>SUM(P$3:P$4)*$K8</f>
        <v>0</v>
      </c>
    </row>
    <row r="9" spans="2:16" x14ac:dyDescent="0.2">
      <c r="B9" s="1" t="s">
        <v>130</v>
      </c>
      <c r="C9" s="84">
        <v>8.5000000000000006E-2</v>
      </c>
      <c r="D9" s="48">
        <f>D3*$C9</f>
        <v>0</v>
      </c>
      <c r="E9" s="48">
        <f t="shared" ref="E9:H9" si="7">E3*$C9</f>
        <v>0</v>
      </c>
      <c r="F9" s="48">
        <f t="shared" si="7"/>
        <v>0</v>
      </c>
      <c r="G9" s="48">
        <f t="shared" si="7"/>
        <v>0</v>
      </c>
      <c r="H9" s="48">
        <f t="shared" si="7"/>
        <v>0</v>
      </c>
      <c r="J9" s="1" t="s">
        <v>130</v>
      </c>
      <c r="K9" s="84">
        <v>8.5000000000000006E-2</v>
      </c>
      <c r="L9" s="48">
        <f t="shared" ref="L9:M14" si="8">L$3*$K9</f>
        <v>0</v>
      </c>
      <c r="M9" s="48">
        <f t="shared" si="8"/>
        <v>0</v>
      </c>
      <c r="N9" s="48">
        <f t="shared" ref="M9:O15" si="9">N$3*$K9</f>
        <v>0</v>
      </c>
      <c r="O9" s="48">
        <f t="shared" si="9"/>
        <v>0</v>
      </c>
      <c r="P9" s="48">
        <f t="shared" ref="P9:P15" si="10">P$3*$K9</f>
        <v>0</v>
      </c>
    </row>
    <row r="10" spans="2:16" x14ac:dyDescent="0.2">
      <c r="B10" s="1" t="s">
        <v>131</v>
      </c>
      <c r="C10" s="84">
        <v>0.12</v>
      </c>
      <c r="D10" s="48">
        <f>D3*$C10</f>
        <v>0</v>
      </c>
      <c r="E10" s="48">
        <f t="shared" ref="E10:H10" si="11">E3*$C10</f>
        <v>0</v>
      </c>
      <c r="F10" s="48">
        <f t="shared" si="11"/>
        <v>0</v>
      </c>
      <c r="G10" s="48">
        <f t="shared" si="11"/>
        <v>0</v>
      </c>
      <c r="H10" s="48">
        <f t="shared" si="11"/>
        <v>0</v>
      </c>
      <c r="J10" s="1" t="s">
        <v>131</v>
      </c>
      <c r="K10" s="84">
        <v>0.12</v>
      </c>
      <c r="L10" s="48">
        <f t="shared" si="8"/>
        <v>0</v>
      </c>
      <c r="M10" s="48">
        <f t="shared" si="8"/>
        <v>0</v>
      </c>
      <c r="N10" s="48">
        <f t="shared" si="9"/>
        <v>0</v>
      </c>
      <c r="O10" s="48">
        <f t="shared" si="9"/>
        <v>0</v>
      </c>
      <c r="P10" s="48">
        <f t="shared" si="10"/>
        <v>0</v>
      </c>
    </row>
    <row r="11" spans="2:16" x14ac:dyDescent="0.2">
      <c r="B11" s="1" t="s">
        <v>132</v>
      </c>
      <c r="C11" s="84">
        <v>5.0000000000000001E-3</v>
      </c>
      <c r="D11" s="48">
        <f>D3*$C11</f>
        <v>0</v>
      </c>
      <c r="E11" s="48">
        <f t="shared" ref="E11" si="12">E3*$C11</f>
        <v>0</v>
      </c>
      <c r="F11" s="48">
        <f>F3*$C11</f>
        <v>0</v>
      </c>
      <c r="G11" s="48">
        <f t="shared" ref="G11:H11" si="13">G3*$C11</f>
        <v>0</v>
      </c>
      <c r="H11" s="48">
        <f t="shared" si="13"/>
        <v>0</v>
      </c>
      <c r="J11" s="1" t="s">
        <v>132</v>
      </c>
      <c r="K11" s="84">
        <v>5.0000000000000001E-3</v>
      </c>
      <c r="L11" s="48">
        <f t="shared" si="8"/>
        <v>0</v>
      </c>
      <c r="M11" s="48">
        <f t="shared" si="8"/>
        <v>0</v>
      </c>
      <c r="N11" s="48">
        <f t="shared" si="9"/>
        <v>0</v>
      </c>
      <c r="O11" s="48">
        <f t="shared" si="9"/>
        <v>0</v>
      </c>
      <c r="P11" s="48">
        <f t="shared" si="10"/>
        <v>0</v>
      </c>
    </row>
    <row r="12" spans="2:16" x14ac:dyDescent="0.2">
      <c r="B12" s="1" t="s">
        <v>134</v>
      </c>
      <c r="C12" s="84">
        <v>0.02</v>
      </c>
      <c r="D12" s="48">
        <f>D3*$C12</f>
        <v>0</v>
      </c>
      <c r="E12" s="48">
        <f t="shared" ref="E12:H12" si="14">E3*$C12</f>
        <v>0</v>
      </c>
      <c r="F12" s="48">
        <f t="shared" si="14"/>
        <v>0</v>
      </c>
      <c r="G12" s="48">
        <f t="shared" si="14"/>
        <v>0</v>
      </c>
      <c r="H12" s="48">
        <f t="shared" si="14"/>
        <v>0</v>
      </c>
      <c r="J12" s="1" t="s">
        <v>134</v>
      </c>
      <c r="K12" s="84">
        <v>0.02</v>
      </c>
      <c r="L12" s="48">
        <f t="shared" si="8"/>
        <v>0</v>
      </c>
      <c r="M12" s="48">
        <f t="shared" si="8"/>
        <v>0</v>
      </c>
      <c r="N12" s="48">
        <f t="shared" si="9"/>
        <v>0</v>
      </c>
      <c r="O12" s="48">
        <f t="shared" si="9"/>
        <v>0</v>
      </c>
      <c r="P12" s="48">
        <f t="shared" si="10"/>
        <v>0</v>
      </c>
    </row>
    <row r="13" spans="2:16" x14ac:dyDescent="0.2">
      <c r="B13" s="1" t="s">
        <v>133</v>
      </c>
      <c r="C13" s="84">
        <v>0.03</v>
      </c>
      <c r="D13" s="48">
        <f>D3*$C13</f>
        <v>0</v>
      </c>
      <c r="E13" s="48">
        <f t="shared" ref="E13:H13" si="15">E3*$C13</f>
        <v>0</v>
      </c>
      <c r="F13" s="48">
        <f t="shared" si="15"/>
        <v>0</v>
      </c>
      <c r="G13" s="48">
        <f t="shared" si="15"/>
        <v>0</v>
      </c>
      <c r="H13" s="48">
        <f t="shared" si="15"/>
        <v>0</v>
      </c>
      <c r="J13" s="1" t="s">
        <v>133</v>
      </c>
      <c r="K13" s="84">
        <v>0.03</v>
      </c>
      <c r="L13" s="48">
        <f t="shared" si="8"/>
        <v>0</v>
      </c>
      <c r="M13" s="48">
        <f t="shared" si="8"/>
        <v>0</v>
      </c>
      <c r="N13" s="48">
        <f t="shared" si="9"/>
        <v>0</v>
      </c>
      <c r="O13" s="48">
        <f t="shared" si="9"/>
        <v>0</v>
      </c>
      <c r="P13" s="48">
        <f t="shared" si="10"/>
        <v>0</v>
      </c>
    </row>
    <row r="14" spans="2:16" x14ac:dyDescent="0.2">
      <c r="B14" s="1" t="s">
        <v>135</v>
      </c>
      <c r="C14" s="84">
        <v>0.04</v>
      </c>
      <c r="D14" s="48">
        <f>D3*$C14</f>
        <v>0</v>
      </c>
      <c r="E14" s="48">
        <f t="shared" ref="E14:H14" si="16">E3*$C14</f>
        <v>0</v>
      </c>
      <c r="F14" s="48">
        <f t="shared" si="16"/>
        <v>0</v>
      </c>
      <c r="G14" s="48">
        <f t="shared" si="16"/>
        <v>0</v>
      </c>
      <c r="H14" s="48">
        <f t="shared" si="16"/>
        <v>0</v>
      </c>
      <c r="J14" s="1" t="s">
        <v>135</v>
      </c>
      <c r="K14" s="84">
        <v>0.04</v>
      </c>
      <c r="L14" s="48">
        <f t="shared" si="8"/>
        <v>0</v>
      </c>
      <c r="M14" s="48">
        <f t="shared" si="8"/>
        <v>0</v>
      </c>
      <c r="N14" s="48">
        <f t="shared" si="9"/>
        <v>0</v>
      </c>
      <c r="O14" s="48">
        <f t="shared" si="9"/>
        <v>0</v>
      </c>
      <c r="P14" s="48">
        <f t="shared" si="10"/>
        <v>0</v>
      </c>
    </row>
    <row r="15" spans="2:16" x14ac:dyDescent="0.2">
      <c r="B15" s="1" t="s">
        <v>137</v>
      </c>
      <c r="C15" s="84">
        <v>0.05</v>
      </c>
      <c r="D15" s="48">
        <f>D3*$C15</f>
        <v>0</v>
      </c>
      <c r="E15" s="48">
        <f t="shared" ref="E15:H15" si="17">E3*$C15</f>
        <v>0</v>
      </c>
      <c r="F15" s="48">
        <f t="shared" si="17"/>
        <v>0</v>
      </c>
      <c r="G15" s="48">
        <f t="shared" si="17"/>
        <v>0</v>
      </c>
      <c r="H15" s="48">
        <f t="shared" si="17"/>
        <v>0</v>
      </c>
      <c r="J15" s="1" t="s">
        <v>137</v>
      </c>
      <c r="K15" s="84">
        <v>0.05</v>
      </c>
      <c r="L15" s="48">
        <f>L$3*$K15</f>
        <v>0</v>
      </c>
      <c r="M15" s="48">
        <f t="shared" si="9"/>
        <v>0</v>
      </c>
      <c r="N15" s="48">
        <f t="shared" si="9"/>
        <v>0</v>
      </c>
      <c r="O15" s="48">
        <f t="shared" si="9"/>
        <v>0</v>
      </c>
      <c r="P15" s="48">
        <f t="shared" si="10"/>
        <v>0</v>
      </c>
    </row>
    <row r="16" spans="2:16" x14ac:dyDescent="0.2">
      <c r="B16" s="1" t="s">
        <v>138</v>
      </c>
      <c r="C16" s="41"/>
      <c r="D16" s="48">
        <f>SUM(D3:D15)</f>
        <v>0</v>
      </c>
      <c r="E16" s="48">
        <f>SUM(E3:E15)</f>
        <v>0</v>
      </c>
      <c r="F16" s="48">
        <f>SUM(F3:F15)</f>
        <v>0</v>
      </c>
      <c r="G16" s="48">
        <f t="shared" ref="G16:H16" si="18">SUM(G3:G15)</f>
        <v>0</v>
      </c>
      <c r="H16" s="48">
        <f t="shared" si="18"/>
        <v>0</v>
      </c>
      <c r="J16" s="1" t="s">
        <v>138</v>
      </c>
      <c r="K16" s="41"/>
      <c r="L16" s="48">
        <f>SUM(L3:L15)</f>
        <v>0</v>
      </c>
      <c r="M16" s="48">
        <f t="shared" ref="M16:O16" si="19">SUM(M3:M15)</f>
        <v>0</v>
      </c>
      <c r="N16" s="48">
        <f t="shared" si="19"/>
        <v>0</v>
      </c>
      <c r="O16" s="48">
        <f t="shared" si="19"/>
        <v>0</v>
      </c>
      <c r="P16" s="48">
        <f>SUM(P3:P15)</f>
        <v>0</v>
      </c>
    </row>
    <row r="17" spans="2:16" x14ac:dyDescent="0.2">
      <c r="B17" s="13" t="s">
        <v>178</v>
      </c>
      <c r="C17" s="41"/>
      <c r="D17" s="115">
        <f>EST.TÉCNICO!G13</f>
        <v>0</v>
      </c>
      <c r="E17" s="115">
        <f>EST.TÉCNICO!G14</f>
        <v>0</v>
      </c>
      <c r="F17" s="115">
        <f>EST.TÉCNICO!G15</f>
        <v>0</v>
      </c>
      <c r="G17" s="114">
        <f>EST.TÉCNICO!G16</f>
        <v>0</v>
      </c>
      <c r="H17" s="114">
        <f>EST.TÉCNICO!G17</f>
        <v>0</v>
      </c>
      <c r="J17" s="13" t="s">
        <v>178</v>
      </c>
      <c r="K17" s="41"/>
      <c r="L17" s="114">
        <f>EST.TÉCNICO!G18</f>
        <v>0</v>
      </c>
      <c r="M17" s="114">
        <f>EST.TÉCNICO!G19</f>
        <v>0</v>
      </c>
      <c r="N17" s="114">
        <f>EST.TÉCNICO!G20</f>
        <v>0</v>
      </c>
      <c r="O17" s="114">
        <f>EST.TÉCNICO!G21</f>
        <v>0</v>
      </c>
      <c r="P17" s="114">
        <f>EST.TÉCNICO!G22</f>
        <v>0</v>
      </c>
    </row>
    <row r="18" spans="2:16" x14ac:dyDescent="0.2">
      <c r="B18" s="13" t="s">
        <v>215</v>
      </c>
      <c r="C18" s="48">
        <f>SUM(D18:F18)</f>
        <v>0</v>
      </c>
      <c r="D18" s="48">
        <f>D16*12*D17</f>
        <v>0</v>
      </c>
      <c r="E18" s="48">
        <f>E16*12*E17</f>
        <v>0</v>
      </c>
      <c r="F18" s="48">
        <f>F16*12*F17</f>
        <v>0</v>
      </c>
      <c r="G18" s="48">
        <f t="shared" ref="G18:H18" si="20">G16*12*G17</f>
        <v>0</v>
      </c>
      <c r="H18" s="48">
        <f t="shared" si="20"/>
        <v>0</v>
      </c>
      <c r="J18" s="13" t="s">
        <v>215</v>
      </c>
      <c r="K18" s="48">
        <f>SUM(M18:P18)</f>
        <v>0</v>
      </c>
      <c r="L18" s="48">
        <f>L16*12*L17</f>
        <v>0</v>
      </c>
      <c r="M18" s="48">
        <f t="shared" ref="M18:P18" si="21">M16*12*M17</f>
        <v>0</v>
      </c>
      <c r="N18" s="48">
        <f t="shared" si="21"/>
        <v>0</v>
      </c>
      <c r="O18" s="48">
        <f t="shared" si="21"/>
        <v>0</v>
      </c>
      <c r="P18" s="48">
        <f t="shared" si="21"/>
        <v>0</v>
      </c>
    </row>
    <row r="20" spans="2:16" x14ac:dyDescent="0.2">
      <c r="B20" s="15" t="s">
        <v>197</v>
      </c>
    </row>
    <row r="21" spans="2:16" x14ac:dyDescent="0.2">
      <c r="B21" s="47" t="s">
        <v>154</v>
      </c>
      <c r="C21" s="47" t="s">
        <v>119</v>
      </c>
      <c r="D21" s="47" t="s">
        <v>117</v>
      </c>
    </row>
    <row r="22" spans="2:16" x14ac:dyDescent="0.2">
      <c r="B22" s="13" t="s">
        <v>22</v>
      </c>
      <c r="C22" s="48">
        <f>D22/12</f>
        <v>0</v>
      </c>
      <c r="D22" s="48">
        <f>C18</f>
        <v>0</v>
      </c>
    </row>
    <row r="23" spans="2:16" x14ac:dyDescent="0.2">
      <c r="B23" s="13" t="str">
        <f>LOWER(L2)</f>
        <v>jefe de ventas</v>
      </c>
      <c r="C23" s="48">
        <f>L16</f>
        <v>0</v>
      </c>
      <c r="D23" s="48">
        <f>C23*12</f>
        <v>0</v>
      </c>
    </row>
    <row r="24" spans="2:16" x14ac:dyDescent="0.2">
      <c r="B24" s="13" t="s">
        <v>79</v>
      </c>
      <c r="C24" s="48">
        <f>CTP!D66*CTP!E66</f>
        <v>0</v>
      </c>
      <c r="D24" s="48">
        <f>C24*12</f>
        <v>0</v>
      </c>
    </row>
    <row r="25" spans="2:16" x14ac:dyDescent="0.2">
      <c r="B25" s="13" t="s">
        <v>183</v>
      </c>
      <c r="C25" s="48">
        <f>CTP!D67*CTP!E67</f>
        <v>0</v>
      </c>
      <c r="D25" s="48">
        <f t="shared" ref="D25:D36" si="22">C25*12</f>
        <v>0</v>
      </c>
    </row>
    <row r="26" spans="2:16" x14ac:dyDescent="0.2">
      <c r="B26" s="13" t="s">
        <v>184</v>
      </c>
      <c r="C26" s="48">
        <f>CTP!D68*CTP!E68</f>
        <v>0</v>
      </c>
      <c r="D26" s="48">
        <f t="shared" si="22"/>
        <v>0</v>
      </c>
    </row>
    <row r="27" spans="2:16" x14ac:dyDescent="0.2">
      <c r="B27" s="13" t="s">
        <v>185</v>
      </c>
      <c r="C27" s="48">
        <f>CTP!E69*CTP!D69</f>
        <v>0</v>
      </c>
      <c r="D27" s="48">
        <f t="shared" si="22"/>
        <v>0</v>
      </c>
    </row>
    <row r="28" spans="2:16" x14ac:dyDescent="0.2">
      <c r="B28" s="13" t="s">
        <v>83</v>
      </c>
      <c r="C28" s="48">
        <f>CTP!D70*CTP!E70</f>
        <v>0</v>
      </c>
      <c r="D28" s="48">
        <f t="shared" si="22"/>
        <v>0</v>
      </c>
    </row>
    <row r="29" spans="2:16" x14ac:dyDescent="0.2">
      <c r="B29" s="13" t="s">
        <v>84</v>
      </c>
      <c r="C29" s="48">
        <f>CTP!D73*CTP!E73</f>
        <v>0</v>
      </c>
      <c r="D29" s="48">
        <f t="shared" si="22"/>
        <v>0</v>
      </c>
    </row>
    <row r="30" spans="2:16" x14ac:dyDescent="0.2">
      <c r="B30" s="13" t="s">
        <v>284</v>
      </c>
      <c r="C30" s="72"/>
      <c r="D30" s="48">
        <f t="shared" si="22"/>
        <v>0</v>
      </c>
    </row>
    <row r="31" spans="2:16" x14ac:dyDescent="0.2">
      <c r="B31" s="13" t="s">
        <v>388</v>
      </c>
      <c r="C31" s="72"/>
      <c r="D31" s="48">
        <f t="shared" si="22"/>
        <v>0</v>
      </c>
    </row>
    <row r="32" spans="2:16" x14ac:dyDescent="0.2">
      <c r="B32" s="13" t="s">
        <v>387</v>
      </c>
      <c r="C32" s="48">
        <f>D32/12</f>
        <v>0</v>
      </c>
      <c r="D32" s="72"/>
    </row>
    <row r="33" spans="2:4" x14ac:dyDescent="0.2">
      <c r="B33" s="13" t="s">
        <v>390</v>
      </c>
      <c r="C33" s="48">
        <f>D33/12</f>
        <v>0</v>
      </c>
      <c r="D33" s="72"/>
    </row>
    <row r="34" spans="2:4" x14ac:dyDescent="0.2">
      <c r="B34" s="13" t="s">
        <v>389</v>
      </c>
      <c r="C34" s="48">
        <f>D34/12</f>
        <v>0</v>
      </c>
      <c r="D34" s="72"/>
    </row>
    <row r="35" spans="2:4" x14ac:dyDescent="0.2">
      <c r="B35" s="13" t="s">
        <v>285</v>
      </c>
      <c r="C35" s="48">
        <f>D35/12</f>
        <v>0</v>
      </c>
      <c r="D35" s="72"/>
    </row>
    <row r="36" spans="2:4" x14ac:dyDescent="0.2">
      <c r="B36" s="13" t="s">
        <v>186</v>
      </c>
      <c r="C36" s="48">
        <f>CTP!D74*CTP!E74</f>
        <v>0</v>
      </c>
      <c r="D36" s="48">
        <f t="shared" si="22"/>
        <v>0</v>
      </c>
    </row>
    <row r="37" spans="2:4" x14ac:dyDescent="0.2">
      <c r="B37" s="5" t="s">
        <v>80</v>
      </c>
      <c r="C37" s="48">
        <f>D37/12</f>
        <v>0</v>
      </c>
      <c r="D37" s="48">
        <f>EST.MERCADOS!M16</f>
        <v>0</v>
      </c>
    </row>
    <row r="38" spans="2:4" x14ac:dyDescent="0.2">
      <c r="B38" s="5" t="s">
        <v>81</v>
      </c>
      <c r="C38" s="72"/>
      <c r="D38" s="48">
        <f>C38*12</f>
        <v>0</v>
      </c>
    </row>
    <row r="39" spans="2:4" x14ac:dyDescent="0.2">
      <c r="B39" s="5" t="s">
        <v>358</v>
      </c>
      <c r="C39" s="72"/>
      <c r="D39" s="48">
        <f>C39*12</f>
        <v>0</v>
      </c>
    </row>
    <row r="40" spans="2:4" x14ac:dyDescent="0.2">
      <c r="B40" s="5" t="s">
        <v>82</v>
      </c>
      <c r="C40" s="72"/>
      <c r="D40" s="48">
        <f>C40*12</f>
        <v>0</v>
      </c>
    </row>
    <row r="41" spans="2:4" x14ac:dyDescent="0.2">
      <c r="B41" s="5" t="s">
        <v>408</v>
      </c>
      <c r="C41" s="72"/>
      <c r="D41" s="48">
        <f>C41*12</f>
        <v>0</v>
      </c>
    </row>
    <row r="42" spans="2:4" x14ac:dyDescent="0.2">
      <c r="B42" s="5" t="s">
        <v>407</v>
      </c>
      <c r="C42" s="72"/>
      <c r="D42" s="48"/>
    </row>
    <row r="43" spans="2:4" x14ac:dyDescent="0.2">
      <c r="B43" s="13" t="s">
        <v>382</v>
      </c>
      <c r="C43" s="48">
        <f>CTP!D72*CTP!E72</f>
        <v>0</v>
      </c>
      <c r="D43" s="48">
        <f>C43*12</f>
        <v>0</v>
      </c>
    </row>
    <row r="44" spans="2:4" x14ac:dyDescent="0.2">
      <c r="B44" s="13" t="s">
        <v>399</v>
      </c>
      <c r="C44" s="48">
        <f>D44/12</f>
        <v>0</v>
      </c>
      <c r="D44" s="72"/>
    </row>
    <row r="45" spans="2:4" x14ac:dyDescent="0.2">
      <c r="B45" s="5" t="s">
        <v>87</v>
      </c>
      <c r="C45" s="48">
        <f>INVERSIÓN!I38</f>
        <v>0</v>
      </c>
      <c r="D45" s="48">
        <f>INVERSIÓN!I37</f>
        <v>0</v>
      </c>
    </row>
    <row r="46" spans="2:4" x14ac:dyDescent="0.2">
      <c r="B46" s="5" t="s">
        <v>199</v>
      </c>
      <c r="C46" s="48">
        <f>D46/12</f>
        <v>0</v>
      </c>
      <c r="D46" s="48">
        <f>SUM(INVERSIÓN!E14,INVERSIÓN!E23,CTP!E71*CTP!D71*12)</f>
        <v>0</v>
      </c>
    </row>
    <row r="47" spans="2:4" x14ac:dyDescent="0.2">
      <c r="B47" s="44" t="s">
        <v>0</v>
      </c>
      <c r="C47" s="48">
        <f>SUM(C22:C46)</f>
        <v>0</v>
      </c>
      <c r="D47" s="48">
        <f>SUM(D22:D46)</f>
        <v>0</v>
      </c>
    </row>
    <row r="48" spans="2:4" x14ac:dyDescent="0.2">
      <c r="B48" s="32"/>
      <c r="C48" s="61"/>
      <c r="D48" s="61"/>
    </row>
    <row r="49" spans="2:8" x14ac:dyDescent="0.2">
      <c r="B49" s="15" t="s">
        <v>198</v>
      </c>
    </row>
    <row r="50" spans="2:8" x14ac:dyDescent="0.2">
      <c r="B50" s="47" t="s">
        <v>154</v>
      </c>
      <c r="C50" s="47" t="s">
        <v>119</v>
      </c>
      <c r="D50" s="47" t="s">
        <v>117</v>
      </c>
    </row>
    <row r="51" spans="2:8" x14ac:dyDescent="0.2">
      <c r="B51" s="5" t="s">
        <v>200</v>
      </c>
      <c r="C51" s="72">
        <v>0</v>
      </c>
      <c r="D51" s="48">
        <f>C51*12</f>
        <v>0</v>
      </c>
    </row>
    <row r="52" spans="2:8" x14ac:dyDescent="0.2">
      <c r="B52" s="13" t="s">
        <v>386</v>
      </c>
      <c r="C52" s="48">
        <f>D52/12</f>
        <v>0</v>
      </c>
      <c r="D52" s="48">
        <f>K18</f>
        <v>0</v>
      </c>
    </row>
    <row r="53" spans="2:8" x14ac:dyDescent="0.2">
      <c r="B53" s="5" t="s">
        <v>286</v>
      </c>
      <c r="C53" s="72">
        <v>0</v>
      </c>
      <c r="D53" s="48">
        <f>C53*12</f>
        <v>0</v>
      </c>
    </row>
    <row r="54" spans="2:8" x14ac:dyDescent="0.2">
      <c r="B54" s="44" t="s">
        <v>0</v>
      </c>
      <c r="C54" s="48">
        <f>SUM(C51:C53)</f>
        <v>0</v>
      </c>
      <c r="D54" s="48">
        <f>SUM(D51:D53)</f>
        <v>0</v>
      </c>
    </row>
    <row r="58" spans="2:8" x14ac:dyDescent="0.2">
      <c r="B58" s="15" t="s">
        <v>203</v>
      </c>
    </row>
    <row r="59" spans="2:8" x14ac:dyDescent="0.2">
      <c r="B59" s="47" t="s">
        <v>154</v>
      </c>
      <c r="C59" s="47" t="s">
        <v>119</v>
      </c>
      <c r="D59" s="47" t="s">
        <v>117</v>
      </c>
    </row>
    <row r="60" spans="2:8" x14ac:dyDescent="0.2">
      <c r="B60" s="13" t="s">
        <v>201</v>
      </c>
      <c r="C60" s="48">
        <f>C47</f>
        <v>0</v>
      </c>
      <c r="D60" s="48">
        <f>D47</f>
        <v>0</v>
      </c>
    </row>
    <row r="61" spans="2:8" x14ac:dyDescent="0.2">
      <c r="B61" s="13" t="s">
        <v>202</v>
      </c>
      <c r="C61" s="48">
        <f>C54</f>
        <v>0</v>
      </c>
      <c r="D61" s="48">
        <f>D54</f>
        <v>0</v>
      </c>
      <c r="F61" s="4"/>
      <c r="G61" s="4"/>
      <c r="H61" s="4"/>
    </row>
    <row r="62" spans="2:8" x14ac:dyDescent="0.2">
      <c r="B62" s="44" t="s">
        <v>104</v>
      </c>
      <c r="C62" s="48">
        <f>SUM(C60:C61)</f>
        <v>0</v>
      </c>
      <c r="D62" s="48">
        <f>SUM(D60:D61)</f>
        <v>0</v>
      </c>
      <c r="E62" s="15"/>
    </row>
    <row r="65" spans="2:3" x14ac:dyDescent="0.2">
      <c r="B65" s="83" t="s">
        <v>216</v>
      </c>
      <c r="C65" s="83">
        <f>D22</f>
        <v>0</v>
      </c>
    </row>
    <row r="66" spans="2:3" x14ac:dyDescent="0.2">
      <c r="B66" s="83" t="s">
        <v>217</v>
      </c>
      <c r="C66" s="83">
        <f>D60-C65</f>
        <v>0</v>
      </c>
    </row>
    <row r="67" spans="2:3" x14ac:dyDescent="0.2">
      <c r="B67" s="83" t="s">
        <v>218</v>
      </c>
      <c r="C67" s="83">
        <f>D61</f>
        <v>0</v>
      </c>
    </row>
    <row r="68" spans="2:3" x14ac:dyDescent="0.2">
      <c r="B68" s="83"/>
      <c r="C68" s="83">
        <f>SUM(C65:C67)</f>
        <v>0</v>
      </c>
    </row>
    <row r="69" spans="2:3" x14ac:dyDescent="0.2">
      <c r="B69" s="83"/>
      <c r="C69" s="83"/>
    </row>
    <row r="70" spans="2:3" x14ac:dyDescent="0.2">
      <c r="B70" s="83" t="s">
        <v>262</v>
      </c>
      <c r="C70" s="83">
        <f>CTP!D107</f>
        <v>0</v>
      </c>
    </row>
    <row r="71" spans="2:3" x14ac:dyDescent="0.2">
      <c r="B71" s="83" t="s">
        <v>263</v>
      </c>
      <c r="C71" s="83">
        <f>D62</f>
        <v>0</v>
      </c>
    </row>
    <row r="72" spans="2:3" x14ac:dyDescent="0.2">
      <c r="B72" s="83"/>
      <c r="C72" s="83">
        <f>SUM(C70:C71)</f>
        <v>0</v>
      </c>
    </row>
  </sheetData>
  <sheetProtection sheet="1"/>
  <pageMargins left="0.7" right="0.7" top="0.75" bottom="0.75" header="0.3" footer="0.3"/>
  <drawing r:id="rId1"/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Hoja9"/>
  <dimension ref="B2:C19"/>
  <sheetViews>
    <sheetView showGridLines="0" zoomScaleNormal="100" workbookViewId="0">
      <selection activeCell="B23" sqref="B23"/>
    </sheetView>
  </sheetViews>
  <sheetFormatPr baseColWidth="10" defaultColWidth="11.42578125" defaultRowHeight="12.75" x14ac:dyDescent="0.2"/>
  <cols>
    <col min="1" max="1" width="11.42578125" style="4"/>
    <col min="2" max="2" width="36.42578125" style="4" customWidth="1"/>
    <col min="3" max="3" width="13.85546875" style="4" bestFit="1" customWidth="1"/>
    <col min="4" max="4" width="12.85546875" style="4" bestFit="1" customWidth="1"/>
    <col min="5" max="16384" width="11.42578125" style="4"/>
  </cols>
  <sheetData>
    <row r="2" spans="2:3" x14ac:dyDescent="0.2">
      <c r="B2" s="15" t="s">
        <v>86</v>
      </c>
    </row>
    <row r="3" spans="2:3" x14ac:dyDescent="0.2">
      <c r="B3" s="5" t="s">
        <v>44</v>
      </c>
      <c r="C3" s="48">
        <f>CTP!D107</f>
        <v>0</v>
      </c>
    </row>
    <row r="4" spans="2:3" x14ac:dyDescent="0.2">
      <c r="B4" s="5" t="s">
        <v>206</v>
      </c>
      <c r="C4" s="48">
        <f>GAV!D62</f>
        <v>0</v>
      </c>
    </row>
    <row r="5" spans="2:3" x14ac:dyDescent="0.2">
      <c r="B5" s="5" t="s">
        <v>207</v>
      </c>
      <c r="C5" s="48">
        <f>SUM(C3:C4)</f>
        <v>0</v>
      </c>
    </row>
    <row r="6" spans="2:3" x14ac:dyDescent="0.2">
      <c r="B6" s="5" t="s">
        <v>205</v>
      </c>
      <c r="C6" s="5">
        <f>EST.TÉCNICO!C8</f>
        <v>0</v>
      </c>
    </row>
    <row r="7" spans="2:3" x14ac:dyDescent="0.2">
      <c r="B7" s="5" t="s">
        <v>209</v>
      </c>
      <c r="C7" s="48" t="e">
        <f>C5/C6</f>
        <v>#DIV/0!</v>
      </c>
    </row>
    <row r="8" spans="2:3" x14ac:dyDescent="0.2">
      <c r="B8" s="5" t="s">
        <v>208</v>
      </c>
      <c r="C8" s="73"/>
    </row>
    <row r="9" spans="2:3" x14ac:dyDescent="0.2">
      <c r="B9" s="5" t="s">
        <v>101</v>
      </c>
      <c r="C9" s="48" t="e">
        <f>ROUNDUP(C7/(1-C8),0)</f>
        <v>#DIV/0!</v>
      </c>
    </row>
    <row r="10" spans="2:3" x14ac:dyDescent="0.2">
      <c r="B10" s="5" t="s">
        <v>211</v>
      </c>
      <c r="C10" s="73"/>
    </row>
    <row r="11" spans="2:3" x14ac:dyDescent="0.2">
      <c r="B11" s="5" t="s">
        <v>265</v>
      </c>
      <c r="C11" s="48" t="e">
        <f>ROUNDUP(C9/(1-C10),0)</f>
        <v>#DIV/0!</v>
      </c>
    </row>
    <row r="12" spans="2:3" x14ac:dyDescent="0.2">
      <c r="B12" s="5" t="s">
        <v>402</v>
      </c>
      <c r="C12" s="73"/>
    </row>
    <row r="13" spans="2:3" x14ac:dyDescent="0.2">
      <c r="B13" s="5" t="s">
        <v>210</v>
      </c>
      <c r="C13" s="48" t="e">
        <f>ROUNDUP(C11/(1-C12),0)</f>
        <v>#DIV/0!</v>
      </c>
    </row>
    <row r="17" spans="2:3" x14ac:dyDescent="0.2">
      <c r="B17" s="15"/>
      <c r="C17" s="15"/>
    </row>
    <row r="18" spans="2:3" x14ac:dyDescent="0.2">
      <c r="B18" s="15"/>
      <c r="C18" s="15"/>
    </row>
    <row r="19" spans="2:3" x14ac:dyDescent="0.2">
      <c r="B19" s="15"/>
      <c r="C19" s="15"/>
    </row>
  </sheetData>
  <sheetProtection sheet="1"/>
  <pageMargins left="0.7" right="0.7" top="0.75" bottom="0.75" header="0.3" footer="0.3"/>
  <pageSetup paperSize="9" orientation="portrait" horizontalDpi="0" verticalDpi="0" r:id="rId1"/>
  <drawing r:id="rId2"/>
  <legacy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Hoja10"/>
  <dimension ref="A1:G31"/>
  <sheetViews>
    <sheetView showGridLines="0" zoomScaleNormal="100" workbookViewId="0">
      <selection activeCell="E26" sqref="E26"/>
    </sheetView>
  </sheetViews>
  <sheetFormatPr baseColWidth="10" defaultColWidth="11.42578125" defaultRowHeight="12.75" x14ac:dyDescent="0.2"/>
  <cols>
    <col min="1" max="1" width="32.42578125" style="14" customWidth="1"/>
    <col min="2" max="6" width="15.28515625" style="14" customWidth="1"/>
    <col min="7" max="16384" width="11.42578125" style="14"/>
  </cols>
  <sheetData>
    <row r="1" spans="1:6" x14ac:dyDescent="0.2">
      <c r="A1" s="17" t="s">
        <v>154</v>
      </c>
      <c r="B1" s="45" t="s">
        <v>19</v>
      </c>
      <c r="C1" s="45" t="s">
        <v>231</v>
      </c>
      <c r="D1" s="45" t="s">
        <v>232</v>
      </c>
      <c r="E1" s="45" t="s">
        <v>233</v>
      </c>
      <c r="F1" s="45" t="s">
        <v>234</v>
      </c>
    </row>
    <row r="2" spans="1:6" x14ac:dyDescent="0.2">
      <c r="A2" s="12" t="s">
        <v>290</v>
      </c>
      <c r="B2" s="48" t="e">
        <f>PRECIO!$C$9*EST.TÉCNICO!C8</f>
        <v>#DIV/0!</v>
      </c>
      <c r="C2" s="48" t="e">
        <f>PRECIO!$C$9*EST.TÉCNICO!D8</f>
        <v>#DIV/0!</v>
      </c>
      <c r="D2" s="48" t="e">
        <f>PRECIO!$C$9*EST.TÉCNICO!E8</f>
        <v>#DIV/0!</v>
      </c>
      <c r="E2" s="48" t="e">
        <f>PRECIO!$C$9*EST.TÉCNICO!F8</f>
        <v>#DIV/0!</v>
      </c>
      <c r="F2" s="48" t="e">
        <f>PRECIO!$C$9*EST.TÉCNICO!G8</f>
        <v>#DIV/0!</v>
      </c>
    </row>
    <row r="3" spans="1:6" x14ac:dyDescent="0.2">
      <c r="A3" s="12" t="s">
        <v>291</v>
      </c>
      <c r="B3" s="72"/>
      <c r="C3" s="72"/>
      <c r="D3" s="72"/>
      <c r="E3" s="72"/>
      <c r="F3" s="72"/>
    </row>
    <row r="4" spans="1:6" x14ac:dyDescent="0.2">
      <c r="A4" s="13" t="s">
        <v>223</v>
      </c>
      <c r="B4" s="48" t="e">
        <f>SUM(B2:B3)</f>
        <v>#DIV/0!</v>
      </c>
      <c r="C4" s="48" t="e">
        <f t="shared" ref="C4:E4" si="0">SUM(C2:C3)</f>
        <v>#DIV/0!</v>
      </c>
      <c r="D4" s="48" t="e">
        <f t="shared" si="0"/>
        <v>#DIV/0!</v>
      </c>
      <c r="E4" s="48" t="e">
        <f t="shared" si="0"/>
        <v>#DIV/0!</v>
      </c>
      <c r="F4" s="48" t="e">
        <f>SUM(F2:F3)</f>
        <v>#DIV/0!</v>
      </c>
    </row>
    <row r="5" spans="1:6" x14ac:dyDescent="0.2">
      <c r="A5" s="132" t="s">
        <v>77</v>
      </c>
      <c r="B5" s="133"/>
      <c r="C5" s="133"/>
      <c r="D5" s="133"/>
      <c r="E5" s="133"/>
      <c r="F5" s="134"/>
    </row>
    <row r="6" spans="1:6" x14ac:dyDescent="0.2">
      <c r="A6" s="5" t="s">
        <v>383</v>
      </c>
      <c r="B6" s="48">
        <f>CTP!D93</f>
        <v>0</v>
      </c>
      <c r="C6" s="48" t="e">
        <f>B6*EST.TÉCNICO!D8/EST.TÉCNICO!C8</f>
        <v>#DIV/0!</v>
      </c>
      <c r="D6" s="48" t="e">
        <f>C6*EST.TÉCNICO!E8/EST.TÉCNICO!D8</f>
        <v>#DIV/0!</v>
      </c>
      <c r="E6" s="48" t="e">
        <f>D6*EST.TÉCNICO!F8/EST.TÉCNICO!E8</f>
        <v>#DIV/0!</v>
      </c>
      <c r="F6" s="48" t="e">
        <f>E6*EST.TÉCNICO!G8/EST.TÉCNICO!F8</f>
        <v>#DIV/0!</v>
      </c>
    </row>
    <row r="7" spans="1:6" x14ac:dyDescent="0.2">
      <c r="A7" s="5" t="s">
        <v>41</v>
      </c>
      <c r="B7" s="48">
        <f>CTP!D92</f>
        <v>0</v>
      </c>
      <c r="C7" s="48">
        <f>B7</f>
        <v>0</v>
      </c>
      <c r="D7" s="48">
        <f t="shared" ref="D7:F7" si="1">C7</f>
        <v>0</v>
      </c>
      <c r="E7" s="48">
        <f t="shared" si="1"/>
        <v>0</v>
      </c>
      <c r="F7" s="48">
        <f t="shared" si="1"/>
        <v>0</v>
      </c>
    </row>
    <row r="8" spans="1:6" x14ac:dyDescent="0.2">
      <c r="A8" s="5" t="s">
        <v>42</v>
      </c>
      <c r="B8" s="48">
        <f>CTP!C111</f>
        <v>0</v>
      </c>
      <c r="C8" s="48" t="e">
        <f>CTP!$C$110+ESTADO!C23</f>
        <v>#DIV/0!</v>
      </c>
      <c r="D8" s="48" t="e">
        <f>CTP!$C$110+ESTADO!D23</f>
        <v>#DIV/0!</v>
      </c>
      <c r="E8" s="48" t="e">
        <f>CTP!$C$110+ESTADO!E23</f>
        <v>#DIV/0!</v>
      </c>
      <c r="F8" s="48" t="e">
        <f>CTP!$C$110+ESTADO!F23</f>
        <v>#DIV/0!</v>
      </c>
    </row>
    <row r="9" spans="1:6" x14ac:dyDescent="0.2">
      <c r="A9" s="13" t="s">
        <v>24</v>
      </c>
      <c r="B9" s="48" t="e">
        <f>B4-SUM(B6:B8)</f>
        <v>#DIV/0!</v>
      </c>
      <c r="C9" s="48" t="e">
        <f t="shared" ref="C9:E9" si="2">C4-SUM(C6:C8)</f>
        <v>#DIV/0!</v>
      </c>
      <c r="D9" s="48" t="e">
        <f t="shared" si="2"/>
        <v>#DIV/0!</v>
      </c>
      <c r="E9" s="48" t="e">
        <f t="shared" si="2"/>
        <v>#DIV/0!</v>
      </c>
      <c r="F9" s="48" t="e">
        <f>F4-SUM(F6:F8)</f>
        <v>#DIV/0!</v>
      </c>
    </row>
    <row r="10" spans="1:6" x14ac:dyDescent="0.2">
      <c r="A10" s="132" t="s">
        <v>25</v>
      </c>
      <c r="B10" s="133"/>
      <c r="C10" s="133"/>
      <c r="D10" s="133"/>
      <c r="E10" s="133"/>
      <c r="F10" s="134"/>
    </row>
    <row r="11" spans="1:6" x14ac:dyDescent="0.2">
      <c r="A11" s="13" t="s">
        <v>22</v>
      </c>
      <c r="B11" s="48">
        <f>GAV!D22</f>
        <v>0</v>
      </c>
      <c r="C11" s="48">
        <f>B11</f>
        <v>0</v>
      </c>
      <c r="D11" s="48">
        <f t="shared" ref="D11:F11" si="3">C11</f>
        <v>0</v>
      </c>
      <c r="E11" s="48">
        <f t="shared" si="3"/>
        <v>0</v>
      </c>
      <c r="F11" s="48">
        <f t="shared" si="3"/>
        <v>0</v>
      </c>
    </row>
    <row r="12" spans="1:6" x14ac:dyDescent="0.2">
      <c r="A12" s="13" t="s">
        <v>20</v>
      </c>
      <c r="B12" s="48">
        <f>GAV!D62-GAV!D22</f>
        <v>0</v>
      </c>
      <c r="C12" s="48" t="e">
        <f>GAV!$C$66+ESTADO!C22</f>
        <v>#DIV/0!</v>
      </c>
      <c r="D12" s="48" t="e">
        <f>GAV!$C$66+ESTADO!D22</f>
        <v>#DIV/0!</v>
      </c>
      <c r="E12" s="48" t="e">
        <f>GAV!$C$66+ESTADO!E22</f>
        <v>#DIV/0!</v>
      </c>
      <c r="F12" s="48" t="e">
        <f>GAV!$C$66+ESTADO!F22</f>
        <v>#DIV/0!</v>
      </c>
    </row>
    <row r="13" spans="1:6" x14ac:dyDescent="0.2">
      <c r="A13" s="13" t="s">
        <v>26</v>
      </c>
      <c r="B13" s="48" t="e">
        <f>B9-SUM(B11:B12)</f>
        <v>#DIV/0!</v>
      </c>
      <c r="C13" s="48" t="e">
        <f t="shared" ref="C13:E13" si="4">C9-SUM(C11:C12)</f>
        <v>#DIV/0!</v>
      </c>
      <c r="D13" s="48" t="e">
        <f t="shared" si="4"/>
        <v>#DIV/0!</v>
      </c>
      <c r="E13" s="48" t="e">
        <f t="shared" si="4"/>
        <v>#DIV/0!</v>
      </c>
      <c r="F13" s="48" t="e">
        <f>F9-SUM(F11:F12)</f>
        <v>#DIV/0!</v>
      </c>
    </row>
    <row r="14" spans="1:6" x14ac:dyDescent="0.2">
      <c r="A14" s="13" t="s">
        <v>74</v>
      </c>
      <c r="B14" s="48">
        <f>-CRÉDITO!C16</f>
        <v>0</v>
      </c>
      <c r="C14" s="48">
        <f>-CRÉDITO!C29</f>
        <v>0</v>
      </c>
      <c r="D14" s="48">
        <f>-CRÉDITO!C42</f>
        <v>0</v>
      </c>
      <c r="E14" s="48">
        <f>-CRÉDITO!C55</f>
        <v>0</v>
      </c>
      <c r="F14" s="48">
        <f>-CRÉDITO!C68</f>
        <v>0</v>
      </c>
    </row>
    <row r="15" spans="1:6" x14ac:dyDescent="0.2">
      <c r="A15" s="13" t="s">
        <v>401</v>
      </c>
      <c r="B15" s="48" t="e">
        <f>-B2*4/1000</f>
        <v>#DIV/0!</v>
      </c>
      <c r="C15" s="48" t="e">
        <f t="shared" ref="C15:F15" si="5">-C2*4/1000</f>
        <v>#DIV/0!</v>
      </c>
      <c r="D15" s="48" t="e">
        <f t="shared" si="5"/>
        <v>#DIV/0!</v>
      </c>
      <c r="E15" s="48" t="e">
        <f t="shared" si="5"/>
        <v>#DIV/0!</v>
      </c>
      <c r="F15" s="48" t="e">
        <f t="shared" si="5"/>
        <v>#DIV/0!</v>
      </c>
    </row>
    <row r="16" spans="1:6" x14ac:dyDescent="0.2">
      <c r="A16" s="13" t="s">
        <v>27</v>
      </c>
      <c r="B16" s="48" t="e">
        <f>SUM(B13:B15)</f>
        <v>#DIV/0!</v>
      </c>
      <c r="C16" s="48" t="e">
        <f t="shared" ref="C16:F16" si="6">SUM(C13:C15)</f>
        <v>#DIV/0!</v>
      </c>
      <c r="D16" s="48" t="e">
        <f t="shared" si="6"/>
        <v>#DIV/0!</v>
      </c>
      <c r="E16" s="48" t="e">
        <f t="shared" si="6"/>
        <v>#DIV/0!</v>
      </c>
      <c r="F16" s="48" t="e">
        <f t="shared" si="6"/>
        <v>#DIV/0!</v>
      </c>
    </row>
    <row r="17" spans="1:7" x14ac:dyDescent="0.2">
      <c r="A17" s="13" t="s">
        <v>28</v>
      </c>
      <c r="B17" s="48" t="e">
        <f>-B16*$G$17</f>
        <v>#DIV/0!</v>
      </c>
      <c r="C17" s="48" t="e">
        <f t="shared" ref="C17:F17" si="7">-C16*$G$17</f>
        <v>#DIV/0!</v>
      </c>
      <c r="D17" s="48" t="e">
        <f t="shared" si="7"/>
        <v>#DIV/0!</v>
      </c>
      <c r="E17" s="48" t="e">
        <f t="shared" si="7"/>
        <v>#DIV/0!</v>
      </c>
      <c r="F17" s="48" t="e">
        <f t="shared" si="7"/>
        <v>#DIV/0!</v>
      </c>
      <c r="G17" s="118"/>
    </row>
    <row r="18" spans="1:7" x14ac:dyDescent="0.2">
      <c r="A18" s="13" t="s">
        <v>219</v>
      </c>
      <c r="B18" s="48" t="e">
        <f>-B2*$G$18</f>
        <v>#DIV/0!</v>
      </c>
      <c r="C18" s="48" t="e">
        <f>-C2*$G$18</f>
        <v>#DIV/0!</v>
      </c>
      <c r="D18" s="48" t="e">
        <f>-D2*$G$18</f>
        <v>#DIV/0!</v>
      </c>
      <c r="E18" s="48" t="e">
        <f>-E2*$G$18</f>
        <v>#DIV/0!</v>
      </c>
      <c r="F18" s="48" t="e">
        <f>-F2*$G$18</f>
        <v>#DIV/0!</v>
      </c>
      <c r="G18" s="121"/>
    </row>
    <row r="19" spans="1:7" x14ac:dyDescent="0.2">
      <c r="A19" s="13" t="s">
        <v>29</v>
      </c>
      <c r="B19" s="48" t="e">
        <f>SUM(B16:B18)</f>
        <v>#DIV/0!</v>
      </c>
      <c r="C19" s="48" t="e">
        <f t="shared" ref="C19:F19" si="8">SUM(C16:C18)</f>
        <v>#DIV/0!</v>
      </c>
      <c r="D19" s="48" t="e">
        <f t="shared" si="8"/>
        <v>#DIV/0!</v>
      </c>
      <c r="E19" s="48" t="e">
        <f t="shared" si="8"/>
        <v>#DIV/0!</v>
      </c>
      <c r="F19" s="48" t="e">
        <f t="shared" si="8"/>
        <v>#DIV/0!</v>
      </c>
    </row>
    <row r="20" spans="1:7" x14ac:dyDescent="0.2">
      <c r="A20" s="13" t="s">
        <v>30</v>
      </c>
      <c r="B20" s="48" t="e">
        <f>-B19*0.1</f>
        <v>#DIV/0!</v>
      </c>
      <c r="C20" s="48" t="e">
        <f t="shared" ref="C20:F20" si="9">-C19*0.1</f>
        <v>#DIV/0!</v>
      </c>
      <c r="D20" s="48" t="e">
        <f t="shared" si="9"/>
        <v>#DIV/0!</v>
      </c>
      <c r="E20" s="48" t="e">
        <f t="shared" si="9"/>
        <v>#DIV/0!</v>
      </c>
      <c r="F20" s="48" t="e">
        <f t="shared" si="9"/>
        <v>#DIV/0!</v>
      </c>
    </row>
    <row r="21" spans="1:7" x14ac:dyDescent="0.2">
      <c r="A21" s="13" t="s">
        <v>31</v>
      </c>
      <c r="B21" s="48" t="e">
        <f>SUM(B19:B20)</f>
        <v>#DIV/0!</v>
      </c>
      <c r="C21" s="48" t="e">
        <f t="shared" ref="C21:F21" si="10">SUM(C19:C20)</f>
        <v>#DIV/0!</v>
      </c>
      <c r="D21" s="48" t="e">
        <f t="shared" si="10"/>
        <v>#DIV/0!</v>
      </c>
      <c r="E21" s="48" t="e">
        <f t="shared" si="10"/>
        <v>#DIV/0!</v>
      </c>
      <c r="F21" s="48" t="e">
        <f t="shared" si="10"/>
        <v>#DIV/0!</v>
      </c>
    </row>
    <row r="22" spans="1:7" x14ac:dyDescent="0.2">
      <c r="A22" s="83" t="s">
        <v>218</v>
      </c>
      <c r="B22" s="83">
        <f>GAV!C67</f>
        <v>0</v>
      </c>
      <c r="C22" s="83" t="e">
        <f>B22*C2/B2</f>
        <v>#DIV/0!</v>
      </c>
      <c r="D22" s="83" t="e">
        <f>C22*D2/C2</f>
        <v>#DIV/0!</v>
      </c>
      <c r="E22" s="83" t="e">
        <f>D22*E2/D2</f>
        <v>#DIV/0!</v>
      </c>
      <c r="F22" s="83" t="e">
        <f>E22*F2/E2</f>
        <v>#DIV/0!</v>
      </c>
    </row>
    <row r="23" spans="1:7" x14ac:dyDescent="0.2">
      <c r="A23" s="83" t="s">
        <v>213</v>
      </c>
      <c r="B23" s="83">
        <f>CTP!C109</f>
        <v>0</v>
      </c>
      <c r="C23" s="83" t="e">
        <f>B23*C2/B2</f>
        <v>#DIV/0!</v>
      </c>
      <c r="D23" s="83" t="e">
        <f>C23*D2/C2</f>
        <v>#DIV/0!</v>
      </c>
      <c r="E23" s="83" t="e">
        <f>D23*E2/D2</f>
        <v>#DIV/0!</v>
      </c>
      <c r="F23" s="83" t="e">
        <f>E23*F2/E2</f>
        <v>#DIV/0!</v>
      </c>
    </row>
    <row r="31" spans="1:7" x14ac:dyDescent="0.2">
      <c r="A31" s="90" t="s">
        <v>88</v>
      </c>
      <c r="B31" s="83" t="e">
        <f>-B20</f>
        <v>#DIV/0!</v>
      </c>
      <c r="C31" s="83" t="e">
        <f>-SUM(B20:C20)</f>
        <v>#DIV/0!</v>
      </c>
      <c r="D31" s="83" t="e">
        <f>-SUM(B20:D20)</f>
        <v>#DIV/0!</v>
      </c>
      <c r="E31" s="83" t="e">
        <f>-SUM(B20:E20)</f>
        <v>#DIV/0!</v>
      </c>
      <c r="F31" s="83" t="e">
        <f>-SUM(B20:F20)</f>
        <v>#DIV/0!</v>
      </c>
    </row>
  </sheetData>
  <sheetProtection sheet="1"/>
  <mergeCells count="2">
    <mergeCell ref="A5:F5"/>
    <mergeCell ref="A10:F10"/>
  </mergeCells>
  <phoneticPr fontId="6" type="noConversion"/>
  <pageMargins left="0.7" right="0.7" top="0.75" bottom="0.75" header="0.3" footer="0.3"/>
  <drawing r:id="rId1"/>
  <legacy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Hoja11"/>
  <dimension ref="A2:H42"/>
  <sheetViews>
    <sheetView showGridLines="0" zoomScale="130" zoomScaleNormal="130" workbookViewId="0">
      <selection activeCell="B22" sqref="B22"/>
    </sheetView>
  </sheetViews>
  <sheetFormatPr baseColWidth="10" defaultColWidth="11.42578125" defaultRowHeight="12.75" x14ac:dyDescent="0.2"/>
  <cols>
    <col min="1" max="1" width="59.140625" style="14" customWidth="1"/>
    <col min="2" max="2" width="13.85546875" style="14" bestFit="1" customWidth="1"/>
    <col min="3" max="7" width="14.28515625" style="14" customWidth="1"/>
    <col min="8" max="8" width="13.85546875" style="14" bestFit="1" customWidth="1"/>
    <col min="9" max="16384" width="11.42578125" style="14"/>
  </cols>
  <sheetData>
    <row r="2" spans="1:8" x14ac:dyDescent="0.2">
      <c r="A2" s="45" t="s">
        <v>154</v>
      </c>
      <c r="B2" s="45" t="s">
        <v>235</v>
      </c>
      <c r="C2" s="45" t="s">
        <v>19</v>
      </c>
      <c r="D2" s="45" t="s">
        <v>231</v>
      </c>
      <c r="E2" s="45" t="s">
        <v>232</v>
      </c>
      <c r="F2" s="45" t="s">
        <v>233</v>
      </c>
      <c r="G2" s="45" t="s">
        <v>234</v>
      </c>
    </row>
    <row r="3" spans="1:8" x14ac:dyDescent="0.2">
      <c r="A3" s="13" t="s">
        <v>35</v>
      </c>
      <c r="B3" s="63">
        <v>0</v>
      </c>
      <c r="C3" s="63">
        <f>B42</f>
        <v>0</v>
      </c>
      <c r="D3" s="63" t="e">
        <f>SUM(B42:C42)</f>
        <v>#DIV/0!</v>
      </c>
      <c r="E3" s="63" t="e">
        <f>SUM(B42:D42)</f>
        <v>#DIV/0!</v>
      </c>
      <c r="F3" s="63" t="e">
        <f>SUM(B42:E42)</f>
        <v>#DIV/0!</v>
      </c>
      <c r="G3" s="63" t="e">
        <f>SUM(B42:F42)</f>
        <v>#DIV/0!</v>
      </c>
      <c r="H3" s="83" t="e">
        <f>SUM(B42:G42)-G23</f>
        <v>#DIV/0!</v>
      </c>
    </row>
    <row r="4" spans="1:8" x14ac:dyDescent="0.2">
      <c r="A4" s="13" t="s">
        <v>227</v>
      </c>
      <c r="B4" s="13"/>
      <c r="C4" s="13"/>
      <c r="D4" s="13"/>
      <c r="E4" s="13"/>
      <c r="F4" s="13"/>
      <c r="G4" s="13"/>
    </row>
    <row r="5" spans="1:8" x14ac:dyDescent="0.2">
      <c r="A5" s="13" t="s">
        <v>224</v>
      </c>
      <c r="B5" s="13"/>
      <c r="C5" s="63" t="e">
        <f>SUM(C6:C7)</f>
        <v>#DIV/0!</v>
      </c>
      <c r="D5" s="63" t="e">
        <f t="shared" ref="D5:G5" si="0">SUM(D6:D7)</f>
        <v>#DIV/0!</v>
      </c>
      <c r="E5" s="63" t="e">
        <f t="shared" si="0"/>
        <v>#DIV/0!</v>
      </c>
      <c r="F5" s="63" t="e">
        <f t="shared" si="0"/>
        <v>#DIV/0!</v>
      </c>
      <c r="G5" s="63" t="e">
        <f t="shared" si="0"/>
        <v>#DIV/0!</v>
      </c>
    </row>
    <row r="6" spans="1:8" x14ac:dyDescent="0.2">
      <c r="A6" s="13" t="s">
        <v>43</v>
      </c>
      <c r="B6" s="63"/>
      <c r="C6" s="63" t="e">
        <f>ESTADO!B2</f>
        <v>#DIV/0!</v>
      </c>
      <c r="D6" s="63" t="e">
        <f>ESTADO!C2</f>
        <v>#DIV/0!</v>
      </c>
      <c r="E6" s="63" t="e">
        <f>ESTADO!D2</f>
        <v>#DIV/0!</v>
      </c>
      <c r="F6" s="63" t="e">
        <f>ESTADO!E2</f>
        <v>#DIV/0!</v>
      </c>
      <c r="G6" s="63" t="e">
        <f>ESTADO!F2</f>
        <v>#DIV/0!</v>
      </c>
    </row>
    <row r="7" spans="1:8" x14ac:dyDescent="0.2">
      <c r="A7" s="12" t="s">
        <v>291</v>
      </c>
      <c r="B7" s="63"/>
      <c r="C7" s="63">
        <f>ESTADO!B3</f>
        <v>0</v>
      </c>
      <c r="D7" s="63">
        <f>ESTADO!C3</f>
        <v>0</v>
      </c>
      <c r="E7" s="63">
        <f>ESTADO!D3</f>
        <v>0</v>
      </c>
      <c r="F7" s="63">
        <f>ESTADO!E3</f>
        <v>0</v>
      </c>
      <c r="G7" s="63">
        <f>ESTADO!F3</f>
        <v>0</v>
      </c>
    </row>
    <row r="8" spans="1:8" x14ac:dyDescent="0.2">
      <c r="A8" s="13" t="s">
        <v>225</v>
      </c>
      <c r="B8" s="13"/>
      <c r="C8" s="63" t="e">
        <f>-SUM(C9:C18)</f>
        <v>#DIV/0!</v>
      </c>
      <c r="D8" s="63" t="e">
        <f t="shared" ref="D8:G8" si="1">-SUM(D9:D18)</f>
        <v>#DIV/0!</v>
      </c>
      <c r="E8" s="63" t="e">
        <f t="shared" si="1"/>
        <v>#DIV/0!</v>
      </c>
      <c r="F8" s="63" t="e">
        <f t="shared" si="1"/>
        <v>#DIV/0!</v>
      </c>
      <c r="G8" s="63" t="e">
        <f t="shared" si="1"/>
        <v>#DIV/0!</v>
      </c>
    </row>
    <row r="9" spans="1:8" x14ac:dyDescent="0.2">
      <c r="A9" s="13" t="s">
        <v>383</v>
      </c>
      <c r="B9" s="63"/>
      <c r="C9" s="63">
        <f>ESTADO!B6</f>
        <v>0</v>
      </c>
      <c r="D9" s="63" t="e">
        <f>ESTADO!C6</f>
        <v>#DIV/0!</v>
      </c>
      <c r="E9" s="63" t="e">
        <f>ESTADO!D6</f>
        <v>#DIV/0!</v>
      </c>
      <c r="F9" s="63" t="e">
        <f>ESTADO!E6</f>
        <v>#DIV/0!</v>
      </c>
      <c r="G9" s="63" t="e">
        <f>ESTADO!F6</f>
        <v>#DIV/0!</v>
      </c>
    </row>
    <row r="10" spans="1:8" x14ac:dyDescent="0.2">
      <c r="A10" s="13" t="s">
        <v>41</v>
      </c>
      <c r="B10" s="63"/>
      <c r="C10" s="63">
        <f>ESTADO!B7</f>
        <v>0</v>
      </c>
      <c r="D10" s="63">
        <f>ESTADO!C7</f>
        <v>0</v>
      </c>
      <c r="E10" s="63">
        <f>ESTADO!D7</f>
        <v>0</v>
      </c>
      <c r="F10" s="63">
        <f>ESTADO!E7</f>
        <v>0</v>
      </c>
      <c r="G10" s="63">
        <f>ESTADO!F7</f>
        <v>0</v>
      </c>
    </row>
    <row r="11" spans="1:8" x14ac:dyDescent="0.2">
      <c r="A11" s="13" t="s">
        <v>42</v>
      </c>
      <c r="B11" s="63"/>
      <c r="C11" s="63">
        <f>ESTADO!B8</f>
        <v>0</v>
      </c>
      <c r="D11" s="63" t="e">
        <f>ESTADO!C8</f>
        <v>#DIV/0!</v>
      </c>
      <c r="E11" s="63" t="e">
        <f>ESTADO!D8</f>
        <v>#DIV/0!</v>
      </c>
      <c r="F11" s="63" t="e">
        <f>ESTADO!E8</f>
        <v>#DIV/0!</v>
      </c>
      <c r="G11" s="63" t="e">
        <f>ESTADO!F8</f>
        <v>#DIV/0!</v>
      </c>
    </row>
    <row r="12" spans="1:8" x14ac:dyDescent="0.2">
      <c r="A12" s="13" t="s">
        <v>22</v>
      </c>
      <c r="B12" s="63"/>
      <c r="C12" s="63">
        <f>ESTADO!B11</f>
        <v>0</v>
      </c>
      <c r="D12" s="63">
        <f>ESTADO!C11</f>
        <v>0</v>
      </c>
      <c r="E12" s="63">
        <f>ESTADO!D11</f>
        <v>0</v>
      </c>
      <c r="F12" s="63">
        <f>ESTADO!E11</f>
        <v>0</v>
      </c>
      <c r="G12" s="63">
        <f>ESTADO!F11</f>
        <v>0</v>
      </c>
    </row>
    <row r="13" spans="1:8" x14ac:dyDescent="0.2">
      <c r="A13" s="13" t="s">
        <v>20</v>
      </c>
      <c r="B13" s="63"/>
      <c r="C13" s="63">
        <f>ESTADO!B12</f>
        <v>0</v>
      </c>
      <c r="D13" s="63" t="e">
        <f>ESTADO!C12</f>
        <v>#DIV/0!</v>
      </c>
      <c r="E13" s="63" t="e">
        <f>ESTADO!D12</f>
        <v>#DIV/0!</v>
      </c>
      <c r="F13" s="63" t="e">
        <f>ESTADO!E12</f>
        <v>#DIV/0!</v>
      </c>
      <c r="G13" s="63" t="e">
        <f>ESTADO!F12</f>
        <v>#DIV/0!</v>
      </c>
    </row>
    <row r="14" spans="1:8" x14ac:dyDescent="0.2">
      <c r="A14" s="13" t="s">
        <v>221</v>
      </c>
      <c r="B14" s="63"/>
      <c r="C14" s="63">
        <f>-CTP!D86-GAV!D46</f>
        <v>0</v>
      </c>
      <c r="D14" s="63">
        <f>C14</f>
        <v>0</v>
      </c>
      <c r="E14" s="63">
        <f t="shared" ref="E14:G14" si="2">D14</f>
        <v>0</v>
      </c>
      <c r="F14" s="63">
        <f t="shared" si="2"/>
        <v>0</v>
      </c>
      <c r="G14" s="63">
        <f t="shared" si="2"/>
        <v>0</v>
      </c>
    </row>
    <row r="15" spans="1:8" x14ac:dyDescent="0.2">
      <c r="A15" s="13" t="s">
        <v>222</v>
      </c>
      <c r="B15" s="63"/>
      <c r="C15" s="63">
        <f>-GAV!D45</f>
        <v>0</v>
      </c>
      <c r="D15" s="63">
        <f>C15</f>
        <v>0</v>
      </c>
      <c r="E15" s="63">
        <f t="shared" ref="E15:G15" si="3">D15</f>
        <v>0</v>
      </c>
      <c r="F15" s="63">
        <f t="shared" si="3"/>
        <v>0</v>
      </c>
      <c r="G15" s="63">
        <f t="shared" si="3"/>
        <v>0</v>
      </c>
    </row>
    <row r="16" spans="1:8" x14ac:dyDescent="0.2">
      <c r="A16" s="13" t="s">
        <v>61</v>
      </c>
      <c r="B16" s="63"/>
      <c r="C16" s="63">
        <v>0</v>
      </c>
      <c r="D16" s="63" t="e">
        <f>-ESTADO!B17</f>
        <v>#DIV/0!</v>
      </c>
      <c r="E16" s="63" t="e">
        <f>-ESTADO!C17</f>
        <v>#DIV/0!</v>
      </c>
      <c r="F16" s="63" t="e">
        <f>-ESTADO!D17</f>
        <v>#DIV/0!</v>
      </c>
      <c r="G16" s="63" t="e">
        <f>-ESTADO!E17</f>
        <v>#DIV/0!</v>
      </c>
    </row>
    <row r="17" spans="1:7" x14ac:dyDescent="0.2">
      <c r="A17" s="13" t="s">
        <v>220</v>
      </c>
      <c r="B17" s="63"/>
      <c r="C17" s="63">
        <v>0</v>
      </c>
      <c r="D17" s="63" t="e">
        <f>-ESTADO!B18</f>
        <v>#DIV/0!</v>
      </c>
      <c r="E17" s="63" t="e">
        <f>-ESTADO!C18</f>
        <v>#DIV/0!</v>
      </c>
      <c r="F17" s="63" t="e">
        <f>-ESTADO!D18</f>
        <v>#DIV/0!</v>
      </c>
      <c r="G17" s="63" t="e">
        <f>-ESTADO!E18</f>
        <v>#DIV/0!</v>
      </c>
    </row>
    <row r="18" spans="1:7" x14ac:dyDescent="0.2">
      <c r="A18" s="13" t="s">
        <v>403</v>
      </c>
      <c r="B18" s="63"/>
      <c r="C18" s="63" t="e">
        <f>-ESTADO!B15</f>
        <v>#DIV/0!</v>
      </c>
      <c r="D18" s="63" t="e">
        <f>-ESTADO!C15</f>
        <v>#DIV/0!</v>
      </c>
      <c r="E18" s="63" t="e">
        <f>-ESTADO!D15</f>
        <v>#DIV/0!</v>
      </c>
      <c r="F18" s="63" t="e">
        <f>-ESTADO!E15</f>
        <v>#DIV/0!</v>
      </c>
      <c r="G18" s="63" t="e">
        <f>-ESTADO!F15</f>
        <v>#DIV/0!</v>
      </c>
    </row>
    <row r="19" spans="1:7" x14ac:dyDescent="0.2">
      <c r="A19" s="65" t="s">
        <v>303</v>
      </c>
      <c r="B19" s="66">
        <v>0</v>
      </c>
      <c r="C19" s="66" t="e">
        <f>SUM(C5,C8)</f>
        <v>#DIV/0!</v>
      </c>
      <c r="D19" s="66" t="e">
        <f>SUM(D5,D8)</f>
        <v>#DIV/0!</v>
      </c>
      <c r="E19" s="66" t="e">
        <f t="shared" ref="E19:G19" si="4">SUM(E5,E8)</f>
        <v>#DIV/0!</v>
      </c>
      <c r="F19" s="66" t="e">
        <f t="shared" si="4"/>
        <v>#DIV/0!</v>
      </c>
      <c r="G19" s="66" t="e">
        <f t="shared" si="4"/>
        <v>#DIV/0!</v>
      </c>
    </row>
    <row r="20" spans="1:7" x14ac:dyDescent="0.2">
      <c r="A20" s="13" t="s">
        <v>228</v>
      </c>
      <c r="B20" s="13"/>
      <c r="C20" s="13"/>
      <c r="D20" s="13"/>
      <c r="E20" s="13"/>
      <c r="F20" s="13"/>
      <c r="G20" s="13"/>
    </row>
    <row r="21" spans="1:7" x14ac:dyDescent="0.2">
      <c r="A21" s="13" t="s">
        <v>224</v>
      </c>
      <c r="B21" s="63">
        <f>SUM(B22:B23)</f>
        <v>0</v>
      </c>
      <c r="C21" s="63">
        <f t="shared" ref="C21:G21" si="5">SUM(C22:C23)</f>
        <v>0</v>
      </c>
      <c r="D21" s="63">
        <f t="shared" si="5"/>
        <v>0</v>
      </c>
      <c r="E21" s="63">
        <f t="shared" si="5"/>
        <v>0</v>
      </c>
      <c r="F21" s="63">
        <f t="shared" si="5"/>
        <v>0</v>
      </c>
      <c r="G21" s="63">
        <f t="shared" si="5"/>
        <v>0</v>
      </c>
    </row>
    <row r="22" spans="1:7" x14ac:dyDescent="0.2">
      <c r="A22" s="13" t="s">
        <v>13</v>
      </c>
      <c r="B22" s="63">
        <f>SUM(INVERSIÓN!I60:I61)</f>
        <v>0</v>
      </c>
      <c r="C22" s="63"/>
      <c r="D22" s="63"/>
      <c r="E22" s="63"/>
      <c r="F22" s="63"/>
      <c r="G22" s="63"/>
    </row>
    <row r="23" spans="1:7" x14ac:dyDescent="0.2">
      <c r="A23" s="13" t="s">
        <v>34</v>
      </c>
      <c r="B23" s="63"/>
      <c r="C23" s="63"/>
      <c r="D23" s="63"/>
      <c r="E23" s="63"/>
      <c r="F23" s="63"/>
      <c r="G23" s="63">
        <f>SUM(INVERSIÓN!F23,INVERSIÓN!F14,INVERSIÓN!F43,INVERSIÓN!F68,INVERSIÓN!F83,INVERSIÓN!J7)</f>
        <v>0</v>
      </c>
    </row>
    <row r="24" spans="1:7" x14ac:dyDescent="0.2">
      <c r="A24" s="13" t="s">
        <v>226</v>
      </c>
      <c r="B24" s="63">
        <f>-SUM(B25:B33)</f>
        <v>0</v>
      </c>
      <c r="C24" s="63">
        <f t="shared" ref="C24:G24" si="6">-SUM(C25:C33)</f>
        <v>0</v>
      </c>
      <c r="D24" s="63">
        <f t="shared" si="6"/>
        <v>0</v>
      </c>
      <c r="E24" s="63">
        <f t="shared" si="6"/>
        <v>0</v>
      </c>
      <c r="F24" s="63">
        <f t="shared" si="6"/>
        <v>0</v>
      </c>
      <c r="G24" s="63">
        <f t="shared" si="6"/>
        <v>0</v>
      </c>
    </row>
    <row r="25" spans="1:7" x14ac:dyDescent="0.2">
      <c r="A25" s="7" t="s">
        <v>297</v>
      </c>
      <c r="B25" s="63">
        <f>INVERSIÓN!I3</f>
        <v>0</v>
      </c>
      <c r="C25" s="63"/>
      <c r="D25" s="63"/>
      <c r="E25" s="63"/>
      <c r="F25" s="63"/>
      <c r="G25" s="63"/>
    </row>
    <row r="26" spans="1:7" x14ac:dyDescent="0.2">
      <c r="A26" s="7" t="s">
        <v>298</v>
      </c>
      <c r="B26" s="63">
        <f>INVERSIÓN!I4</f>
        <v>0</v>
      </c>
      <c r="C26" s="63"/>
      <c r="D26" s="63"/>
      <c r="E26" s="63"/>
      <c r="F26" s="63"/>
      <c r="G26" s="63"/>
    </row>
    <row r="27" spans="1:7" x14ac:dyDescent="0.2">
      <c r="A27" s="7" t="s">
        <v>299</v>
      </c>
      <c r="B27" s="63">
        <f>INVERSIÓN!I5</f>
        <v>0</v>
      </c>
      <c r="C27" s="63"/>
      <c r="D27" s="63"/>
      <c r="E27" s="63"/>
      <c r="F27" s="63"/>
      <c r="G27" s="63"/>
    </row>
    <row r="28" spans="1:7" x14ac:dyDescent="0.2">
      <c r="A28" s="7" t="s">
        <v>375</v>
      </c>
      <c r="B28" s="63">
        <f>INVERSIÓN!I6</f>
        <v>0</v>
      </c>
      <c r="C28" s="63"/>
      <c r="D28" s="63"/>
      <c r="E28" s="63"/>
      <c r="F28" s="63"/>
      <c r="G28" s="63"/>
    </row>
    <row r="29" spans="1:7" x14ac:dyDescent="0.2">
      <c r="A29" s="7" t="s">
        <v>374</v>
      </c>
      <c r="B29" s="63">
        <f>INVERSIÓN!I7</f>
        <v>0</v>
      </c>
      <c r="C29" s="63"/>
      <c r="D29" s="63"/>
      <c r="E29" s="63"/>
      <c r="F29" s="63"/>
      <c r="G29" s="63"/>
    </row>
    <row r="30" spans="1:7" x14ac:dyDescent="0.2">
      <c r="A30" s="7" t="s">
        <v>300</v>
      </c>
      <c r="B30" s="63">
        <f>INVERSIÓN!I8</f>
        <v>0</v>
      </c>
      <c r="C30" s="63"/>
      <c r="D30" s="63"/>
      <c r="E30" s="63"/>
      <c r="F30" s="63"/>
      <c r="G30" s="63"/>
    </row>
    <row r="31" spans="1:7" ht="27" customHeight="1" x14ac:dyDescent="0.2">
      <c r="A31" s="7" t="s">
        <v>301</v>
      </c>
      <c r="B31" s="63">
        <f>INVERSIÓN!I9</f>
        <v>0</v>
      </c>
      <c r="C31" s="63"/>
      <c r="D31" s="63"/>
      <c r="E31" s="63"/>
      <c r="F31" s="63"/>
      <c r="G31" s="63"/>
    </row>
    <row r="32" spans="1:7" x14ac:dyDescent="0.2">
      <c r="A32" s="7" t="s">
        <v>302</v>
      </c>
      <c r="B32" s="63">
        <f>INVERSIÓN!I10</f>
        <v>0</v>
      </c>
      <c r="C32" s="63"/>
      <c r="D32" s="63"/>
      <c r="E32" s="63"/>
      <c r="F32" s="63"/>
      <c r="G32" s="63"/>
    </row>
    <row r="33" spans="1:7" x14ac:dyDescent="0.2">
      <c r="A33" s="64" t="s">
        <v>32</v>
      </c>
      <c r="B33" s="63">
        <f>INVERSIÓN!I36</f>
        <v>0</v>
      </c>
      <c r="C33" s="63"/>
      <c r="D33" s="63"/>
      <c r="E33" s="63"/>
      <c r="F33" s="63"/>
      <c r="G33" s="63"/>
    </row>
    <row r="34" spans="1:7" x14ac:dyDescent="0.2">
      <c r="A34" s="65" t="s">
        <v>304</v>
      </c>
      <c r="B34" s="66">
        <f>SUM(B21,B24)</f>
        <v>0</v>
      </c>
      <c r="C34" s="66">
        <f t="shared" ref="C34:G34" si="7">SUM(C21,C24)</f>
        <v>0</v>
      </c>
      <c r="D34" s="66">
        <f t="shared" si="7"/>
        <v>0</v>
      </c>
      <c r="E34" s="66">
        <f t="shared" si="7"/>
        <v>0</v>
      </c>
      <c r="F34" s="66">
        <f t="shared" si="7"/>
        <v>0</v>
      </c>
      <c r="G34" s="66">
        <f t="shared" si="7"/>
        <v>0</v>
      </c>
    </row>
    <row r="35" spans="1:7" x14ac:dyDescent="0.2">
      <c r="A35" s="13" t="s">
        <v>229</v>
      </c>
      <c r="B35" s="63"/>
      <c r="C35" s="63"/>
      <c r="D35" s="63"/>
      <c r="E35" s="63"/>
      <c r="F35" s="63"/>
      <c r="G35" s="63"/>
    </row>
    <row r="36" spans="1:7" x14ac:dyDescent="0.2">
      <c r="A36" s="13" t="s">
        <v>224</v>
      </c>
      <c r="B36" s="63">
        <f>B37</f>
        <v>0</v>
      </c>
      <c r="C36" s="63"/>
      <c r="D36" s="63"/>
      <c r="E36" s="63"/>
      <c r="F36" s="63"/>
      <c r="G36" s="63"/>
    </row>
    <row r="37" spans="1:7" x14ac:dyDescent="0.2">
      <c r="A37" s="13" t="s">
        <v>14</v>
      </c>
      <c r="B37" s="63">
        <f>CRÉDITO!B1</f>
        <v>0</v>
      </c>
      <c r="C37" s="63"/>
      <c r="D37" s="63"/>
      <c r="E37" s="63"/>
      <c r="F37" s="63"/>
      <c r="G37" s="63"/>
    </row>
    <row r="38" spans="1:7" x14ac:dyDescent="0.2">
      <c r="A38" s="13" t="s">
        <v>226</v>
      </c>
      <c r="B38" s="63"/>
      <c r="C38" s="63">
        <f>-SUM(C39:C40)</f>
        <v>0</v>
      </c>
      <c r="D38" s="63">
        <f t="shared" ref="D38:G38" si="8">-SUM(D39:D40)</f>
        <v>0</v>
      </c>
      <c r="E38" s="63">
        <f t="shared" si="8"/>
        <v>0</v>
      </c>
      <c r="F38" s="63">
        <f t="shared" si="8"/>
        <v>0</v>
      </c>
      <c r="G38" s="63">
        <f t="shared" si="8"/>
        <v>0</v>
      </c>
    </row>
    <row r="39" spans="1:7" x14ac:dyDescent="0.2">
      <c r="A39" s="13" t="s">
        <v>33</v>
      </c>
      <c r="B39" s="63"/>
      <c r="C39" s="63">
        <f>CRÉDITO!B16</f>
        <v>0</v>
      </c>
      <c r="D39" s="63">
        <f>CRÉDITO!B29</f>
        <v>0</v>
      </c>
      <c r="E39" s="63">
        <f>CRÉDITO!B42</f>
        <v>0</v>
      </c>
      <c r="F39" s="63">
        <f>CRÉDITO!B55</f>
        <v>0</v>
      </c>
      <c r="G39" s="63">
        <f>CRÉDITO!B68</f>
        <v>0</v>
      </c>
    </row>
    <row r="40" spans="1:7" x14ac:dyDescent="0.2">
      <c r="A40" s="13" t="s">
        <v>8</v>
      </c>
      <c r="B40" s="63"/>
      <c r="C40" s="63">
        <f>-ESTADO!B14</f>
        <v>0</v>
      </c>
      <c r="D40" s="63">
        <f>-ESTADO!C14</f>
        <v>0</v>
      </c>
      <c r="E40" s="63">
        <f>-ESTADO!D14</f>
        <v>0</v>
      </c>
      <c r="F40" s="63">
        <f>-ESTADO!E14</f>
        <v>0</v>
      </c>
      <c r="G40" s="63">
        <f>-ESTADO!F14</f>
        <v>0</v>
      </c>
    </row>
    <row r="41" spans="1:7" x14ac:dyDescent="0.2">
      <c r="A41" s="65" t="s">
        <v>305</v>
      </c>
      <c r="B41" s="66">
        <f t="shared" ref="B41:G41" si="9">SUM(B36,B38)</f>
        <v>0</v>
      </c>
      <c r="C41" s="66">
        <f t="shared" si="9"/>
        <v>0</v>
      </c>
      <c r="D41" s="66">
        <f t="shared" si="9"/>
        <v>0</v>
      </c>
      <c r="E41" s="66">
        <f t="shared" si="9"/>
        <v>0</v>
      </c>
      <c r="F41" s="66">
        <f t="shared" si="9"/>
        <v>0</v>
      </c>
      <c r="G41" s="66">
        <f t="shared" si="9"/>
        <v>0</v>
      </c>
    </row>
    <row r="42" spans="1:7" x14ac:dyDescent="0.2">
      <c r="A42" s="65" t="s">
        <v>306</v>
      </c>
      <c r="B42" s="66">
        <f t="shared" ref="B42:G42" si="10">SUM(B19,B34,B41)</f>
        <v>0</v>
      </c>
      <c r="C42" s="66" t="e">
        <f t="shared" si="10"/>
        <v>#DIV/0!</v>
      </c>
      <c r="D42" s="66" t="e">
        <f t="shared" si="10"/>
        <v>#DIV/0!</v>
      </c>
      <c r="E42" s="66" t="e">
        <f t="shared" si="10"/>
        <v>#DIV/0!</v>
      </c>
      <c r="F42" s="66" t="e">
        <f t="shared" si="10"/>
        <v>#DIV/0!</v>
      </c>
      <c r="G42" s="66" t="e">
        <f t="shared" si="10"/>
        <v>#DIV/0!</v>
      </c>
    </row>
  </sheetData>
  <sheetProtection sheet="1" objects="1" scenarios="1"/>
  <pageMargins left="0.7" right="0.7" top="0.75" bottom="0.75" header="0.3" footer="0.3"/>
  <pageSetup paperSize="9" orientation="portrait" horizontalDpi="0" verticalDpi="0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Hoja12"/>
  <dimension ref="A2:G43"/>
  <sheetViews>
    <sheetView showGridLines="0" zoomScaleNormal="100" workbookViewId="0">
      <selection activeCell="I23" sqref="I23"/>
    </sheetView>
  </sheetViews>
  <sheetFormatPr baseColWidth="10" defaultColWidth="11.42578125" defaultRowHeight="12.75" x14ac:dyDescent="0.2"/>
  <cols>
    <col min="1" max="1" width="35.42578125" style="24" customWidth="1"/>
    <col min="2" max="5" width="13.7109375" style="24" customWidth="1"/>
    <col min="6" max="6" width="15.7109375" style="24" customWidth="1"/>
    <col min="7" max="7" width="16.7109375" style="24" customWidth="1"/>
    <col min="8" max="16384" width="11.42578125" style="24"/>
  </cols>
  <sheetData>
    <row r="2" spans="1:7" x14ac:dyDescent="0.2">
      <c r="A2" s="45" t="s">
        <v>230</v>
      </c>
      <c r="B2" s="45" t="s">
        <v>235</v>
      </c>
      <c r="C2" s="45" t="s">
        <v>19</v>
      </c>
      <c r="D2" s="45" t="s">
        <v>231</v>
      </c>
      <c r="E2" s="45" t="s">
        <v>232</v>
      </c>
      <c r="F2" s="45" t="s">
        <v>233</v>
      </c>
      <c r="G2" s="45" t="s">
        <v>234</v>
      </c>
    </row>
    <row r="3" spans="1:7" x14ac:dyDescent="0.2">
      <c r="A3" s="135" t="s">
        <v>3</v>
      </c>
      <c r="B3" s="136"/>
      <c r="C3" s="136"/>
      <c r="D3" s="136"/>
      <c r="E3" s="136"/>
      <c r="F3" s="136"/>
      <c r="G3" s="137"/>
    </row>
    <row r="4" spans="1:7" x14ac:dyDescent="0.2">
      <c r="A4" s="2" t="s">
        <v>51</v>
      </c>
      <c r="B4" s="2"/>
      <c r="C4" s="2"/>
      <c r="D4" s="2"/>
      <c r="E4" s="2"/>
      <c r="F4" s="2"/>
      <c r="G4" s="2"/>
    </row>
    <row r="5" spans="1:7" x14ac:dyDescent="0.2">
      <c r="A5" s="2" t="s">
        <v>393</v>
      </c>
      <c r="B5" s="72"/>
      <c r="C5" s="72"/>
      <c r="D5" s="72"/>
      <c r="E5" s="72"/>
      <c r="F5" s="72"/>
      <c r="G5" s="72"/>
    </row>
    <row r="6" spans="1:7" x14ac:dyDescent="0.2">
      <c r="A6" s="13" t="s">
        <v>394</v>
      </c>
      <c r="B6" s="63">
        <f>FLUJO!C3-B5</f>
        <v>0</v>
      </c>
      <c r="C6" s="63" t="e">
        <f>FLUJO!D3-C5</f>
        <v>#DIV/0!</v>
      </c>
      <c r="D6" s="63" t="e">
        <f>FLUJO!E3-D5</f>
        <v>#DIV/0!</v>
      </c>
      <c r="E6" s="63" t="e">
        <f>FLUJO!F3-E5</f>
        <v>#DIV/0!</v>
      </c>
      <c r="F6" s="63" t="e">
        <f>FLUJO!G3-F5</f>
        <v>#DIV/0!</v>
      </c>
      <c r="G6" s="63" t="e">
        <f>FLUJO!H3-G5</f>
        <v>#DIV/0!</v>
      </c>
    </row>
    <row r="7" spans="1:7" x14ac:dyDescent="0.2">
      <c r="A7" s="2" t="s">
        <v>395</v>
      </c>
      <c r="B7" s="63">
        <f>INVERSIÓN!I10</f>
        <v>0</v>
      </c>
      <c r="C7" s="63">
        <f>B7</f>
        <v>0</v>
      </c>
      <c r="D7" s="63">
        <f t="shared" ref="D7" si="0">C7</f>
        <v>0</v>
      </c>
      <c r="E7" s="63">
        <f t="shared" ref="E7" si="1">D7</f>
        <v>0</v>
      </c>
      <c r="F7" s="63">
        <f t="shared" ref="F7" si="2">E7</f>
        <v>0</v>
      </c>
      <c r="G7" s="63">
        <f t="shared" ref="G7" si="3">F7</f>
        <v>0</v>
      </c>
    </row>
    <row r="8" spans="1:7" x14ac:dyDescent="0.2">
      <c r="A8" s="2" t="s">
        <v>52</v>
      </c>
      <c r="B8" s="63">
        <f>SUM(B5:B7)</f>
        <v>0</v>
      </c>
      <c r="C8" s="63" t="e">
        <f t="shared" ref="C8:G8" si="4">SUM(C5:C7)</f>
        <v>#DIV/0!</v>
      </c>
      <c r="D8" s="63" t="e">
        <f t="shared" si="4"/>
        <v>#DIV/0!</v>
      </c>
      <c r="E8" s="63" t="e">
        <f t="shared" si="4"/>
        <v>#DIV/0!</v>
      </c>
      <c r="F8" s="63" t="e">
        <f t="shared" si="4"/>
        <v>#DIV/0!</v>
      </c>
      <c r="G8" s="63" t="e">
        <f t="shared" si="4"/>
        <v>#DIV/0!</v>
      </c>
    </row>
    <row r="9" spans="1:7" x14ac:dyDescent="0.2">
      <c r="A9" s="2" t="s">
        <v>53</v>
      </c>
      <c r="B9" s="63"/>
      <c r="C9" s="63"/>
      <c r="D9" s="63"/>
      <c r="E9" s="63"/>
      <c r="F9" s="63"/>
      <c r="G9" s="63"/>
    </row>
    <row r="10" spans="1:7" x14ac:dyDescent="0.2">
      <c r="A10" s="2" t="s">
        <v>1</v>
      </c>
      <c r="B10" s="63">
        <f>INVERSIÓN!I3</f>
        <v>0</v>
      </c>
      <c r="C10" s="63">
        <f>B10</f>
        <v>0</v>
      </c>
      <c r="D10" s="63">
        <f t="shared" ref="D10:G10" si="5">C10</f>
        <v>0</v>
      </c>
      <c r="E10" s="63">
        <f t="shared" si="5"/>
        <v>0</v>
      </c>
      <c r="F10" s="63">
        <f t="shared" si="5"/>
        <v>0</v>
      </c>
      <c r="G10" s="63">
        <f t="shared" si="5"/>
        <v>0</v>
      </c>
    </row>
    <row r="11" spans="1:7" x14ac:dyDescent="0.2">
      <c r="A11" s="2" t="s">
        <v>148</v>
      </c>
      <c r="B11" s="63">
        <f>INVERSIÓN!I4</f>
        <v>0</v>
      </c>
      <c r="C11" s="63">
        <f t="shared" ref="C11:G16" si="6">B11</f>
        <v>0</v>
      </c>
      <c r="D11" s="63">
        <f t="shared" si="6"/>
        <v>0</v>
      </c>
      <c r="E11" s="63">
        <f t="shared" si="6"/>
        <v>0</v>
      </c>
      <c r="F11" s="63">
        <f t="shared" si="6"/>
        <v>0</v>
      </c>
      <c r="G11" s="63">
        <f t="shared" si="6"/>
        <v>0</v>
      </c>
    </row>
    <row r="12" spans="1:7" x14ac:dyDescent="0.2">
      <c r="A12" s="2" t="s">
        <v>78</v>
      </c>
      <c r="B12" s="63">
        <f>INVERSIÓN!I5</f>
        <v>0</v>
      </c>
      <c r="C12" s="63">
        <f t="shared" si="6"/>
        <v>0</v>
      </c>
      <c r="D12" s="63">
        <f t="shared" si="6"/>
        <v>0</v>
      </c>
      <c r="E12" s="63">
        <f t="shared" si="6"/>
        <v>0</v>
      </c>
      <c r="F12" s="63">
        <f t="shared" si="6"/>
        <v>0</v>
      </c>
      <c r="G12" s="63">
        <f t="shared" si="6"/>
        <v>0</v>
      </c>
    </row>
    <row r="13" spans="1:7" x14ac:dyDescent="0.2">
      <c r="A13" s="7" t="s">
        <v>371</v>
      </c>
      <c r="B13" s="63">
        <f>INVERSIÓN!I6</f>
        <v>0</v>
      </c>
      <c r="C13" s="63">
        <f>B13</f>
        <v>0</v>
      </c>
      <c r="D13" s="63">
        <f t="shared" si="6"/>
        <v>0</v>
      </c>
      <c r="E13" s="63">
        <f t="shared" si="6"/>
        <v>0</v>
      </c>
      <c r="F13" s="63">
        <f t="shared" si="6"/>
        <v>0</v>
      </c>
      <c r="G13" s="63">
        <f t="shared" si="6"/>
        <v>0</v>
      </c>
    </row>
    <row r="14" spans="1:7" x14ac:dyDescent="0.2">
      <c r="A14" s="7" t="s">
        <v>372</v>
      </c>
      <c r="B14" s="63">
        <f>INVERSIÓN!I7</f>
        <v>0</v>
      </c>
      <c r="C14" s="63">
        <f>B14</f>
        <v>0</v>
      </c>
      <c r="D14" s="63">
        <f t="shared" si="6"/>
        <v>0</v>
      </c>
      <c r="E14" s="63">
        <f t="shared" si="6"/>
        <v>0</v>
      </c>
      <c r="F14" s="63">
        <f t="shared" si="6"/>
        <v>0</v>
      </c>
      <c r="G14" s="63">
        <f t="shared" si="6"/>
        <v>0</v>
      </c>
    </row>
    <row r="15" spans="1:7" x14ac:dyDescent="0.2">
      <c r="A15" s="2" t="s">
        <v>146</v>
      </c>
      <c r="B15" s="63">
        <f>INVERSIÓN!I8</f>
        <v>0</v>
      </c>
      <c r="C15" s="63">
        <f t="shared" ref="C15" si="7">B15</f>
        <v>0</v>
      </c>
      <c r="D15" s="63">
        <f t="shared" ref="D15" si="8">C15</f>
        <v>0</v>
      </c>
      <c r="E15" s="63">
        <f t="shared" ref="E15" si="9">D15</f>
        <v>0</v>
      </c>
      <c r="F15" s="63">
        <f t="shared" ref="F15" si="10">E15</f>
        <v>0</v>
      </c>
      <c r="G15" s="63">
        <f t="shared" ref="G15" si="11">F15</f>
        <v>0</v>
      </c>
    </row>
    <row r="16" spans="1:7" x14ac:dyDescent="0.2">
      <c r="A16" s="2" t="s">
        <v>147</v>
      </c>
      <c r="B16" s="63">
        <f>INVERSIÓN!I9</f>
        <v>0</v>
      </c>
      <c r="C16" s="63">
        <f>B16</f>
        <v>0</v>
      </c>
      <c r="D16" s="63">
        <f t="shared" si="6"/>
        <v>0</v>
      </c>
      <c r="E16" s="63">
        <f t="shared" si="6"/>
        <v>0</v>
      </c>
      <c r="F16" s="63">
        <f t="shared" si="6"/>
        <v>0</v>
      </c>
      <c r="G16" s="63">
        <f t="shared" si="6"/>
        <v>0</v>
      </c>
    </row>
    <row r="17" spans="1:7" x14ac:dyDescent="0.2">
      <c r="A17" s="2" t="s">
        <v>54</v>
      </c>
      <c r="B17" s="63">
        <v>0</v>
      </c>
      <c r="C17" s="63">
        <f>-CTP!D86-GAV!D46</f>
        <v>0</v>
      </c>
      <c r="D17" s="63">
        <f>C17*2</f>
        <v>0</v>
      </c>
      <c r="E17" s="63">
        <f>C17*3</f>
        <v>0</v>
      </c>
      <c r="F17" s="63">
        <f>C17*4</f>
        <v>0</v>
      </c>
      <c r="G17" s="63">
        <f>C17*5</f>
        <v>0</v>
      </c>
    </row>
    <row r="18" spans="1:7" x14ac:dyDescent="0.2">
      <c r="A18" s="2" t="s">
        <v>55</v>
      </c>
      <c r="B18" s="63">
        <f t="shared" ref="B18:G18" si="12">SUM(B10:B17)</f>
        <v>0</v>
      </c>
      <c r="C18" s="63">
        <f t="shared" si="12"/>
        <v>0</v>
      </c>
      <c r="D18" s="63">
        <f t="shared" si="12"/>
        <v>0</v>
      </c>
      <c r="E18" s="63">
        <f t="shared" si="12"/>
        <v>0</v>
      </c>
      <c r="F18" s="63">
        <f t="shared" si="12"/>
        <v>0</v>
      </c>
      <c r="G18" s="63">
        <f t="shared" si="12"/>
        <v>0</v>
      </c>
    </row>
    <row r="19" spans="1:7" x14ac:dyDescent="0.2">
      <c r="A19" s="2" t="s">
        <v>56</v>
      </c>
      <c r="B19" s="63">
        <f>INVERSIÓN!I36</f>
        <v>0</v>
      </c>
      <c r="C19" s="63">
        <f>B19</f>
        <v>0</v>
      </c>
      <c r="D19" s="63">
        <f t="shared" ref="D19:G19" si="13">C19</f>
        <v>0</v>
      </c>
      <c r="E19" s="63">
        <f t="shared" si="13"/>
        <v>0</v>
      </c>
      <c r="F19" s="63">
        <f t="shared" si="13"/>
        <v>0</v>
      </c>
      <c r="G19" s="63">
        <f t="shared" si="13"/>
        <v>0</v>
      </c>
    </row>
    <row r="20" spans="1:7" x14ac:dyDescent="0.2">
      <c r="A20" s="2" t="s">
        <v>57</v>
      </c>
      <c r="B20" s="63">
        <v>0</v>
      </c>
      <c r="C20" s="63">
        <f>-INVERSIÓN!I37</f>
        <v>0</v>
      </c>
      <c r="D20" s="63">
        <f>C20*2</f>
        <v>0</v>
      </c>
      <c r="E20" s="63">
        <f>C20*3</f>
        <v>0</v>
      </c>
      <c r="F20" s="63">
        <f>C20*4</f>
        <v>0</v>
      </c>
      <c r="G20" s="63">
        <f>C20*5</f>
        <v>0</v>
      </c>
    </row>
    <row r="21" spans="1:7" x14ac:dyDescent="0.2">
      <c r="A21" s="2" t="s">
        <v>58</v>
      </c>
      <c r="B21" s="63">
        <f>SUM(B19:B20)</f>
        <v>0</v>
      </c>
      <c r="C21" s="63">
        <f t="shared" ref="C21:G21" si="14">SUM(C19:C20)</f>
        <v>0</v>
      </c>
      <c r="D21" s="63">
        <f t="shared" si="14"/>
        <v>0</v>
      </c>
      <c r="E21" s="63">
        <f t="shared" si="14"/>
        <v>0</v>
      </c>
      <c r="F21" s="63">
        <f t="shared" si="14"/>
        <v>0</v>
      </c>
      <c r="G21" s="63">
        <f t="shared" si="14"/>
        <v>0</v>
      </c>
    </row>
    <row r="22" spans="1:7" x14ac:dyDescent="0.2">
      <c r="A22" s="2" t="s">
        <v>59</v>
      </c>
      <c r="B22" s="63">
        <f t="shared" ref="B22:G22" si="15">SUM(B8,B18,B21)</f>
        <v>0</v>
      </c>
      <c r="C22" s="63" t="e">
        <f t="shared" si="15"/>
        <v>#DIV/0!</v>
      </c>
      <c r="D22" s="63" t="e">
        <f t="shared" si="15"/>
        <v>#DIV/0!</v>
      </c>
      <c r="E22" s="63" t="e">
        <f t="shared" si="15"/>
        <v>#DIV/0!</v>
      </c>
      <c r="F22" s="63" t="e">
        <f t="shared" si="15"/>
        <v>#DIV/0!</v>
      </c>
      <c r="G22" s="63" t="e">
        <f t="shared" si="15"/>
        <v>#DIV/0!</v>
      </c>
    </row>
    <row r="23" spans="1:7" x14ac:dyDescent="0.2">
      <c r="A23" s="135" t="s">
        <v>73</v>
      </c>
      <c r="B23" s="136"/>
      <c r="C23" s="136"/>
      <c r="D23" s="136"/>
      <c r="E23" s="136"/>
      <c r="F23" s="136"/>
      <c r="G23" s="137"/>
    </row>
    <row r="24" spans="1:7" x14ac:dyDescent="0.2">
      <c r="A24" s="2" t="s">
        <v>60</v>
      </c>
      <c r="B24" s="2"/>
      <c r="C24" s="2"/>
      <c r="D24" s="2"/>
      <c r="E24" s="2"/>
      <c r="F24" s="2"/>
      <c r="G24" s="2"/>
    </row>
    <row r="25" spans="1:7" x14ac:dyDescent="0.2">
      <c r="A25" s="2" t="s">
        <v>236</v>
      </c>
      <c r="B25" s="63">
        <f>CRÉDITO!B16</f>
        <v>0</v>
      </c>
      <c r="C25" s="63">
        <f>CRÉDITO!B29</f>
        <v>0</v>
      </c>
      <c r="D25" s="63">
        <f>CRÉDITO!B42</f>
        <v>0</v>
      </c>
      <c r="E25" s="63">
        <f>CRÉDITO!B55</f>
        <v>0</v>
      </c>
      <c r="F25" s="63">
        <f>CRÉDITO!B68</f>
        <v>0</v>
      </c>
      <c r="G25" s="63">
        <v>0</v>
      </c>
    </row>
    <row r="26" spans="1:7" x14ac:dyDescent="0.2">
      <c r="A26" s="2" t="s">
        <v>396</v>
      </c>
      <c r="B26" s="63">
        <v>0</v>
      </c>
      <c r="C26" s="63" t="e">
        <f>-ESTADO!B17</f>
        <v>#DIV/0!</v>
      </c>
      <c r="D26" s="63" t="e">
        <f>-ESTADO!C17</f>
        <v>#DIV/0!</v>
      </c>
      <c r="E26" s="63" t="e">
        <f>-ESTADO!D17</f>
        <v>#DIV/0!</v>
      </c>
      <c r="F26" s="63" t="e">
        <f>-ESTADO!E17</f>
        <v>#DIV/0!</v>
      </c>
      <c r="G26" s="63" t="e">
        <f>-ESTADO!F17</f>
        <v>#DIV/0!</v>
      </c>
    </row>
    <row r="27" spans="1:7" x14ac:dyDescent="0.2">
      <c r="A27" s="13" t="s">
        <v>397</v>
      </c>
      <c r="B27" s="63">
        <v>0</v>
      </c>
      <c r="C27" s="63" t="e">
        <f>-ESTADO!B18</f>
        <v>#DIV/0!</v>
      </c>
      <c r="D27" s="63" t="e">
        <f>-ESTADO!C18</f>
        <v>#DIV/0!</v>
      </c>
      <c r="E27" s="63" t="e">
        <f>-ESTADO!D18</f>
        <v>#DIV/0!</v>
      </c>
      <c r="F27" s="63" t="e">
        <f>-ESTADO!E18</f>
        <v>#DIV/0!</v>
      </c>
      <c r="G27" s="63" t="e">
        <f>-ESTADO!F18</f>
        <v>#DIV/0!</v>
      </c>
    </row>
    <row r="28" spans="1:7" x14ac:dyDescent="0.2">
      <c r="A28" s="2" t="s">
        <v>62</v>
      </c>
      <c r="B28" s="63">
        <f>SUM(B25:B27)</f>
        <v>0</v>
      </c>
      <c r="C28" s="63" t="e">
        <f t="shared" ref="C28:G28" si="16">SUM(C25:C27)</f>
        <v>#DIV/0!</v>
      </c>
      <c r="D28" s="63" t="e">
        <f t="shared" si="16"/>
        <v>#DIV/0!</v>
      </c>
      <c r="E28" s="63" t="e">
        <f t="shared" si="16"/>
        <v>#DIV/0!</v>
      </c>
      <c r="F28" s="63" t="e">
        <f t="shared" si="16"/>
        <v>#DIV/0!</v>
      </c>
      <c r="G28" s="63" t="e">
        <f t="shared" si="16"/>
        <v>#DIV/0!</v>
      </c>
    </row>
    <row r="29" spans="1:7" x14ac:dyDescent="0.2">
      <c r="A29" s="2" t="s">
        <v>63</v>
      </c>
      <c r="B29" s="63"/>
      <c r="C29" s="63"/>
      <c r="D29" s="63"/>
      <c r="E29" s="63"/>
      <c r="F29" s="63"/>
      <c r="G29" s="63"/>
    </row>
    <row r="30" spans="1:7" x14ac:dyDescent="0.2">
      <c r="A30" s="2" t="s">
        <v>64</v>
      </c>
      <c r="B30" s="63">
        <f>CRÉDITO!B69-CRÉDITO!B16</f>
        <v>0</v>
      </c>
      <c r="C30" s="63">
        <f>CRÉDITO!B69-CRÉDITO!B16-CRÉDITO!B29</f>
        <v>0</v>
      </c>
      <c r="D30" s="63">
        <f>CRÉDITO!B69-CRÉDITO!B16-CRÉDITO!B29-CRÉDITO!B42</f>
        <v>0</v>
      </c>
      <c r="E30" s="63">
        <f>CRÉDITO!B69-CRÉDITO!B16-CRÉDITO!B29-CRÉDITO!B42-CRÉDITO!B55</f>
        <v>0</v>
      </c>
      <c r="F30" s="63">
        <v>0</v>
      </c>
      <c r="G30" s="63">
        <v>0</v>
      </c>
    </row>
    <row r="31" spans="1:7" x14ac:dyDescent="0.2">
      <c r="A31" s="2" t="s">
        <v>65</v>
      </c>
      <c r="B31" s="63">
        <f>B30</f>
        <v>0</v>
      </c>
      <c r="C31" s="63">
        <f t="shared" ref="C31:G31" si="17">C30</f>
        <v>0</v>
      </c>
      <c r="D31" s="63">
        <f t="shared" si="17"/>
        <v>0</v>
      </c>
      <c r="E31" s="63">
        <f t="shared" si="17"/>
        <v>0</v>
      </c>
      <c r="F31" s="63">
        <f t="shared" si="17"/>
        <v>0</v>
      </c>
      <c r="G31" s="63">
        <f t="shared" si="17"/>
        <v>0</v>
      </c>
    </row>
    <row r="32" spans="1:7" x14ac:dyDescent="0.2">
      <c r="A32" s="2" t="s">
        <v>66</v>
      </c>
      <c r="B32" s="63">
        <f>SUM(B28,B31)</f>
        <v>0</v>
      </c>
      <c r="C32" s="63" t="e">
        <f t="shared" ref="C32:G32" si="18">SUM(C28,C31)</f>
        <v>#DIV/0!</v>
      </c>
      <c r="D32" s="63" t="e">
        <f t="shared" si="18"/>
        <v>#DIV/0!</v>
      </c>
      <c r="E32" s="63" t="e">
        <f t="shared" si="18"/>
        <v>#DIV/0!</v>
      </c>
      <c r="F32" s="63" t="e">
        <f t="shared" si="18"/>
        <v>#DIV/0!</v>
      </c>
      <c r="G32" s="63" t="e">
        <f t="shared" si="18"/>
        <v>#DIV/0!</v>
      </c>
    </row>
    <row r="33" spans="1:7" x14ac:dyDescent="0.2">
      <c r="A33" s="2"/>
      <c r="B33" s="2"/>
      <c r="C33" s="2"/>
      <c r="D33" s="2"/>
      <c r="E33" s="2"/>
      <c r="F33" s="2"/>
      <c r="G33" s="2"/>
    </row>
    <row r="34" spans="1:7" x14ac:dyDescent="0.2">
      <c r="A34" s="135" t="s">
        <v>67</v>
      </c>
      <c r="B34" s="136"/>
      <c r="C34" s="136"/>
      <c r="D34" s="136"/>
      <c r="E34" s="136"/>
      <c r="F34" s="136"/>
      <c r="G34" s="137"/>
    </row>
    <row r="35" spans="1:7" x14ac:dyDescent="0.2">
      <c r="A35" s="2" t="s">
        <v>13</v>
      </c>
      <c r="B35" s="63">
        <f>FLUJO!B22</f>
        <v>0</v>
      </c>
      <c r="C35" s="63">
        <f>B35</f>
        <v>0</v>
      </c>
      <c r="D35" s="63">
        <f t="shared" ref="D35:G35" si="19">C35</f>
        <v>0</v>
      </c>
      <c r="E35" s="63">
        <f t="shared" si="19"/>
        <v>0</v>
      </c>
      <c r="F35" s="63">
        <f t="shared" si="19"/>
        <v>0</v>
      </c>
      <c r="G35" s="63">
        <f t="shared" si="19"/>
        <v>0</v>
      </c>
    </row>
    <row r="36" spans="1:7" x14ac:dyDescent="0.2">
      <c r="A36" s="2" t="s">
        <v>68</v>
      </c>
      <c r="B36" s="63">
        <v>0</v>
      </c>
      <c r="C36" s="63" t="e">
        <f>ESTADO!B31</f>
        <v>#DIV/0!</v>
      </c>
      <c r="D36" s="63" t="e">
        <f>ESTADO!C31</f>
        <v>#DIV/0!</v>
      </c>
      <c r="E36" s="63" t="e">
        <f>ESTADO!D31</f>
        <v>#DIV/0!</v>
      </c>
      <c r="F36" s="63" t="e">
        <f>ESTADO!E31</f>
        <v>#DIV/0!</v>
      </c>
      <c r="G36" s="63" t="e">
        <f>ESTADO!F31</f>
        <v>#DIV/0!</v>
      </c>
    </row>
    <row r="37" spans="1:7" x14ac:dyDescent="0.2">
      <c r="A37" s="2" t="s">
        <v>69</v>
      </c>
      <c r="B37" s="63">
        <v>0</v>
      </c>
      <c r="C37" s="63" t="e">
        <f>ESTADO!B21</f>
        <v>#DIV/0!</v>
      </c>
      <c r="D37" s="63" t="e">
        <f>ESTADO!C21</f>
        <v>#DIV/0!</v>
      </c>
      <c r="E37" s="63" t="e">
        <f>ESTADO!D21</f>
        <v>#DIV/0!</v>
      </c>
      <c r="F37" s="63" t="e">
        <f>ESTADO!E21</f>
        <v>#DIV/0!</v>
      </c>
      <c r="G37" s="63" t="e">
        <f>ESTADO!F21</f>
        <v>#DIV/0!</v>
      </c>
    </row>
    <row r="38" spans="1:7" x14ac:dyDescent="0.2">
      <c r="A38" s="2" t="s">
        <v>398</v>
      </c>
      <c r="B38" s="63">
        <v>0</v>
      </c>
      <c r="C38" s="63">
        <v>0</v>
      </c>
      <c r="D38" s="63" t="e">
        <f>C37</f>
        <v>#DIV/0!</v>
      </c>
      <c r="E38" s="63" t="e">
        <f>SUM(D37:D38)</f>
        <v>#DIV/0!</v>
      </c>
      <c r="F38" s="63" t="e">
        <f t="shared" ref="F38:G38" si="20">SUM(E37:E38)</f>
        <v>#DIV/0!</v>
      </c>
      <c r="G38" s="63" t="e">
        <f t="shared" si="20"/>
        <v>#DIV/0!</v>
      </c>
    </row>
    <row r="39" spans="1:7" x14ac:dyDescent="0.2">
      <c r="A39" s="2" t="s">
        <v>70</v>
      </c>
      <c r="B39" s="63">
        <f t="shared" ref="B39:G39" si="21">SUM(B35:B38)</f>
        <v>0</v>
      </c>
      <c r="C39" s="63" t="e">
        <f t="shared" si="21"/>
        <v>#DIV/0!</v>
      </c>
      <c r="D39" s="63" t="e">
        <f t="shared" si="21"/>
        <v>#DIV/0!</v>
      </c>
      <c r="E39" s="63" t="e">
        <f t="shared" si="21"/>
        <v>#DIV/0!</v>
      </c>
      <c r="F39" s="63" t="e">
        <f t="shared" si="21"/>
        <v>#DIV/0!</v>
      </c>
      <c r="G39" s="63" t="e">
        <f t="shared" si="21"/>
        <v>#DIV/0!</v>
      </c>
    </row>
    <row r="40" spans="1:7" x14ac:dyDescent="0.2">
      <c r="A40" s="135"/>
      <c r="B40" s="136"/>
      <c r="C40" s="136"/>
      <c r="D40" s="136"/>
      <c r="E40" s="136"/>
      <c r="F40" s="136"/>
      <c r="G40" s="137"/>
    </row>
    <row r="41" spans="1:7" x14ac:dyDescent="0.2">
      <c r="A41" s="2" t="s">
        <v>71</v>
      </c>
      <c r="B41" s="63">
        <f t="shared" ref="B41:G41" si="22">SUM(B32,B39)</f>
        <v>0</v>
      </c>
      <c r="C41" s="63" t="e">
        <f t="shared" si="22"/>
        <v>#DIV/0!</v>
      </c>
      <c r="D41" s="63" t="e">
        <f t="shared" si="22"/>
        <v>#DIV/0!</v>
      </c>
      <c r="E41" s="63" t="e">
        <f t="shared" si="22"/>
        <v>#DIV/0!</v>
      </c>
      <c r="F41" s="63" t="e">
        <f t="shared" si="22"/>
        <v>#DIV/0!</v>
      </c>
      <c r="G41" s="63" t="e">
        <f t="shared" si="22"/>
        <v>#DIV/0!</v>
      </c>
    </row>
    <row r="43" spans="1:7" x14ac:dyDescent="0.2">
      <c r="A43" s="60" t="s">
        <v>72</v>
      </c>
      <c r="B43" s="60">
        <f t="shared" ref="B43:G43" si="23">IF(B22-B41&lt;100,0,B22-B41)</f>
        <v>0</v>
      </c>
      <c r="C43" s="60" t="e">
        <f t="shared" si="23"/>
        <v>#DIV/0!</v>
      </c>
      <c r="D43" s="60" t="e">
        <f t="shared" si="23"/>
        <v>#DIV/0!</v>
      </c>
      <c r="E43" s="60" t="e">
        <f t="shared" si="23"/>
        <v>#DIV/0!</v>
      </c>
      <c r="F43" s="60" t="e">
        <f t="shared" si="23"/>
        <v>#DIV/0!</v>
      </c>
      <c r="G43" s="60" t="e">
        <f t="shared" si="23"/>
        <v>#DIV/0!</v>
      </c>
    </row>
  </sheetData>
  <sheetProtection sheet="1"/>
  <mergeCells count="4">
    <mergeCell ref="A3:G3"/>
    <mergeCell ref="A23:G23"/>
    <mergeCell ref="A34:G34"/>
    <mergeCell ref="A40:G40"/>
  </mergeCells>
  <pageMargins left="0.7" right="0.7" top="0.75" bottom="0.75" header="0.3" footer="0.3"/>
  <pageSetup paperSize="9" orientation="portrait" horizontalDpi="0" verticalDpi="0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Hoja13"/>
  <dimension ref="A1:P67"/>
  <sheetViews>
    <sheetView showGridLines="0" tabSelected="1" zoomScaleNormal="100" workbookViewId="0">
      <selection activeCell="E10" sqref="E10"/>
    </sheetView>
  </sheetViews>
  <sheetFormatPr baseColWidth="10" defaultColWidth="11.42578125" defaultRowHeight="12.75" x14ac:dyDescent="0.2"/>
  <cols>
    <col min="1" max="1" width="37.5703125" style="14" customWidth="1"/>
    <col min="2" max="2" width="20.85546875" style="14" customWidth="1"/>
    <col min="3" max="3" width="18.42578125" style="14" customWidth="1"/>
    <col min="4" max="7" width="16.28515625" style="14" customWidth="1"/>
    <col min="8" max="8" width="15.5703125" style="14" customWidth="1"/>
    <col min="9" max="9" width="29.42578125" style="14" customWidth="1"/>
    <col min="10" max="10" width="39.140625" style="14" customWidth="1"/>
    <col min="11" max="11" width="19.42578125" style="14" customWidth="1"/>
    <col min="12" max="16" width="14.140625" style="14" customWidth="1"/>
    <col min="17" max="16384" width="11.42578125" style="14"/>
  </cols>
  <sheetData>
    <row r="1" spans="1:3" x14ac:dyDescent="0.2">
      <c r="A1" s="14" t="s">
        <v>319</v>
      </c>
    </row>
    <row r="2" spans="1:3" x14ac:dyDescent="0.2">
      <c r="A2" s="14" t="s">
        <v>320</v>
      </c>
    </row>
    <row r="3" spans="1:3" x14ac:dyDescent="0.2">
      <c r="A3" s="14" t="s">
        <v>321</v>
      </c>
      <c r="B3" s="13" t="s">
        <v>313</v>
      </c>
      <c r="C3" s="13" t="s">
        <v>312</v>
      </c>
    </row>
    <row r="4" spans="1:3" x14ac:dyDescent="0.2">
      <c r="A4" s="14" t="s">
        <v>322</v>
      </c>
      <c r="B4" s="13" t="s">
        <v>314</v>
      </c>
      <c r="C4" s="13" t="s">
        <v>311</v>
      </c>
    </row>
    <row r="5" spans="1:3" x14ac:dyDescent="0.2">
      <c r="B5" s="13" t="s">
        <v>315</v>
      </c>
      <c r="C5" s="13" t="s">
        <v>310</v>
      </c>
    </row>
    <row r="7" spans="1:3" x14ac:dyDescent="0.2">
      <c r="A7" s="68" t="s">
        <v>238</v>
      </c>
      <c r="B7" s="117"/>
    </row>
    <row r="8" spans="1:3" x14ac:dyDescent="0.2">
      <c r="A8" s="14" t="s">
        <v>239</v>
      </c>
      <c r="B8" s="117"/>
    </row>
    <row r="9" spans="1:3" x14ac:dyDescent="0.2">
      <c r="A9" s="91" t="s">
        <v>242</v>
      </c>
      <c r="B9" s="95">
        <f>B7+B8+B7*B8</f>
        <v>0</v>
      </c>
    </row>
    <row r="10" spans="1:3" x14ac:dyDescent="0.2">
      <c r="A10" s="14" t="s">
        <v>240</v>
      </c>
      <c r="B10" s="23">
        <f>CRÉDITO!G1</f>
        <v>0</v>
      </c>
    </row>
    <row r="11" spans="1:3" x14ac:dyDescent="0.2">
      <c r="A11" s="91" t="s">
        <v>241</v>
      </c>
      <c r="B11" s="95">
        <f>B8+B10+B8*B10</f>
        <v>0</v>
      </c>
    </row>
    <row r="12" spans="1:3" x14ac:dyDescent="0.2">
      <c r="A12" s="14" t="s">
        <v>243</v>
      </c>
      <c r="B12" s="23">
        <f>SUM(INVERSIÓN!J60:J61)</f>
        <v>0</v>
      </c>
    </row>
    <row r="13" spans="1:3" x14ac:dyDescent="0.2">
      <c r="A13" s="14" t="s">
        <v>244</v>
      </c>
      <c r="B13" s="23">
        <f>INVERSIÓN!J62</f>
        <v>0</v>
      </c>
    </row>
    <row r="14" spans="1:3" x14ac:dyDescent="0.2">
      <c r="A14" s="91" t="s">
        <v>245</v>
      </c>
      <c r="B14" s="95">
        <f>B9*B12+B11*B13</f>
        <v>0</v>
      </c>
    </row>
    <row r="15" spans="1:3" x14ac:dyDescent="0.2">
      <c r="A15" s="91" t="s">
        <v>370</v>
      </c>
      <c r="B15" s="95">
        <f>B14-B8/(1+B8)</f>
        <v>0</v>
      </c>
    </row>
    <row r="17" spans="1:16" x14ac:dyDescent="0.2">
      <c r="A17" s="45" t="s">
        <v>154</v>
      </c>
      <c r="B17" s="45" t="s">
        <v>235</v>
      </c>
      <c r="C17" s="45" t="s">
        <v>19</v>
      </c>
      <c r="D17" s="45" t="s">
        <v>231</v>
      </c>
      <c r="E17" s="45" t="s">
        <v>232</v>
      </c>
      <c r="F17" s="45" t="s">
        <v>233</v>
      </c>
      <c r="G17" s="45" t="s">
        <v>234</v>
      </c>
    </row>
    <row r="18" spans="1:16" x14ac:dyDescent="0.2">
      <c r="A18" s="13" t="s">
        <v>308</v>
      </c>
      <c r="B18" s="63">
        <f>-FLUJO!B22</f>
        <v>0</v>
      </c>
      <c r="C18" s="63" t="e">
        <f>FLUJO!C42</f>
        <v>#DIV/0!</v>
      </c>
      <c r="D18" s="63" t="e">
        <f>FLUJO!D42</f>
        <v>#DIV/0!</v>
      </c>
      <c r="E18" s="63" t="e">
        <f>FLUJO!E42</f>
        <v>#DIV/0!</v>
      </c>
      <c r="F18" s="63" t="e">
        <f>FLUJO!F42</f>
        <v>#DIV/0!</v>
      </c>
      <c r="G18" s="63" t="e">
        <f>FLUJO!G42</f>
        <v>#DIV/0!</v>
      </c>
    </row>
    <row r="19" spans="1:16" x14ac:dyDescent="0.2">
      <c r="A19" s="13" t="s">
        <v>307</v>
      </c>
      <c r="B19" s="63">
        <f>B18</f>
        <v>0</v>
      </c>
      <c r="C19" s="63" t="e">
        <f>NPV($B$14,C18)</f>
        <v>#DIV/0!</v>
      </c>
      <c r="D19" s="63" t="e">
        <f>NPV($B$14,0,D18)</f>
        <v>#DIV/0!</v>
      </c>
      <c r="E19" s="63" t="e">
        <f>NPV($B$14,0,0,E18)</f>
        <v>#DIV/0!</v>
      </c>
      <c r="F19" s="63" t="e">
        <f>NPV($B$14,0,0,0,F18)</f>
        <v>#DIV/0!</v>
      </c>
      <c r="G19" s="63" t="e">
        <f>NPV($B$14,0,0,0,0,G18)</f>
        <v>#DIV/0!</v>
      </c>
    </row>
    <row r="20" spans="1:16" x14ac:dyDescent="0.2">
      <c r="A20" s="65" t="s">
        <v>237</v>
      </c>
      <c r="B20" s="66"/>
      <c r="C20" s="66" t="e">
        <f>C19</f>
        <v>#DIV/0!</v>
      </c>
      <c r="D20" s="66" t="e">
        <f>SUM(C19:D19)</f>
        <v>#DIV/0!</v>
      </c>
      <c r="E20" s="66" t="e">
        <f>SUM(C19:E19)</f>
        <v>#DIV/0!</v>
      </c>
      <c r="F20" s="66" t="e">
        <f>SUM(C19:F19)</f>
        <v>#DIV/0!</v>
      </c>
      <c r="G20" s="66" t="e">
        <f>SUM(C19:G19)</f>
        <v>#DIV/0!</v>
      </c>
    </row>
    <row r="21" spans="1:16" x14ac:dyDescent="0.2">
      <c r="A21" s="70"/>
      <c r="B21" s="69"/>
      <c r="C21" s="69"/>
      <c r="D21" s="69"/>
      <c r="E21" s="69"/>
      <c r="F21" s="69"/>
      <c r="G21" s="69"/>
    </row>
    <row r="22" spans="1:16" x14ac:dyDescent="0.2">
      <c r="A22" s="94" t="s">
        <v>36</v>
      </c>
      <c r="B22" s="92" t="e">
        <f>B18+NPV(B15,C18:G18)</f>
        <v>#DIV/0!</v>
      </c>
      <c r="C22" s="69"/>
      <c r="D22" s="69"/>
      <c r="E22" s="69"/>
      <c r="F22" s="69"/>
      <c r="G22" s="69"/>
    </row>
    <row r="23" spans="1:16" x14ac:dyDescent="0.2">
      <c r="A23" s="94" t="s">
        <v>37</v>
      </c>
      <c r="B23" s="93" t="e">
        <f>IRR(B18:G18)</f>
        <v>#VALUE!</v>
      </c>
      <c r="C23" s="69"/>
      <c r="D23" s="69"/>
      <c r="E23" s="69"/>
      <c r="F23" s="69"/>
      <c r="G23" s="69"/>
    </row>
    <row r="24" spans="1:16" ht="12.75" customHeight="1" x14ac:dyDescent="0.25">
      <c r="I24" s="96" t="s">
        <v>352</v>
      </c>
      <c r="J24" s="96" t="s">
        <v>356</v>
      </c>
      <c r="K24" s="97" t="s">
        <v>357</v>
      </c>
      <c r="L24" s="100" t="s">
        <v>19</v>
      </c>
      <c r="M24" s="100" t="s">
        <v>231</v>
      </c>
      <c r="N24" s="100" t="s">
        <v>232</v>
      </c>
      <c r="O24" s="100" t="s">
        <v>233</v>
      </c>
      <c r="P24" s="100" t="s">
        <v>234</v>
      </c>
    </row>
    <row r="25" spans="1:16" ht="12.75" customHeight="1" x14ac:dyDescent="0.2">
      <c r="I25" s="98" t="s">
        <v>335</v>
      </c>
      <c r="J25" s="7" t="s">
        <v>324</v>
      </c>
      <c r="K25" s="19" t="s">
        <v>325</v>
      </c>
      <c r="L25" s="99" t="e">
        <f>'EST SIT FIN'!C8/'EST SIT FIN'!C28</f>
        <v>#DIV/0!</v>
      </c>
      <c r="M25" s="99" t="e">
        <f>'EST SIT FIN'!D8/'EST SIT FIN'!D28</f>
        <v>#DIV/0!</v>
      </c>
      <c r="N25" s="99" t="e">
        <f>'EST SIT FIN'!E8/'EST SIT FIN'!E28</f>
        <v>#DIV/0!</v>
      </c>
      <c r="O25" s="99" t="e">
        <f>'EST SIT FIN'!F8/'EST SIT FIN'!F28</f>
        <v>#DIV/0!</v>
      </c>
      <c r="P25" s="99" t="e">
        <f>'EST SIT FIN'!G8/'EST SIT FIN'!G28</f>
        <v>#DIV/0!</v>
      </c>
    </row>
    <row r="26" spans="1:16" ht="12.75" customHeight="1" x14ac:dyDescent="0.2">
      <c r="I26" s="98" t="s">
        <v>334</v>
      </c>
      <c r="J26" s="98" t="s">
        <v>326</v>
      </c>
      <c r="K26" s="19" t="s">
        <v>325</v>
      </c>
      <c r="L26" s="99" t="e">
        <f>('EST SIT FIN'!C8-'EST SIT FIN'!C7)/'EST SIT FIN'!C28</f>
        <v>#DIV/0!</v>
      </c>
      <c r="M26" s="99" t="e">
        <f>('EST SIT FIN'!D8-'EST SIT FIN'!D7)/'EST SIT FIN'!D28</f>
        <v>#DIV/0!</v>
      </c>
      <c r="N26" s="99" t="e">
        <f>('EST SIT FIN'!E8-'EST SIT FIN'!E7)/'EST SIT FIN'!E28</f>
        <v>#DIV/0!</v>
      </c>
      <c r="O26" s="99" t="e">
        <f>('EST SIT FIN'!F8-'EST SIT FIN'!F7)/'EST SIT FIN'!F28</f>
        <v>#DIV/0!</v>
      </c>
      <c r="P26" s="99" t="e">
        <f>('EST SIT FIN'!G8-'EST SIT FIN'!G7)/'EST SIT FIN'!G28</f>
        <v>#DIV/0!</v>
      </c>
    </row>
    <row r="27" spans="1:16" ht="12.75" customHeight="1" x14ac:dyDescent="0.2">
      <c r="I27" s="98" t="s">
        <v>333</v>
      </c>
      <c r="J27" s="7" t="s">
        <v>327</v>
      </c>
      <c r="K27" s="19" t="s">
        <v>328</v>
      </c>
      <c r="L27" s="63" t="e">
        <f>'EST SIT FIN'!C8-'EST SIT FIN'!C28</f>
        <v>#DIV/0!</v>
      </c>
      <c r="M27" s="63" t="e">
        <f>'EST SIT FIN'!D8-'EST SIT FIN'!D28</f>
        <v>#DIV/0!</v>
      </c>
      <c r="N27" s="63" t="e">
        <f>'EST SIT FIN'!E8-'EST SIT FIN'!E28</f>
        <v>#DIV/0!</v>
      </c>
      <c r="O27" s="63" t="e">
        <f>'EST SIT FIN'!F8-'EST SIT FIN'!F28</f>
        <v>#DIV/0!</v>
      </c>
      <c r="P27" s="63" t="e">
        <f>'EST SIT FIN'!G8-'EST SIT FIN'!G28</f>
        <v>#DIV/0!</v>
      </c>
    </row>
    <row r="29" spans="1:16" ht="12.75" customHeight="1" x14ac:dyDescent="0.25">
      <c r="I29" s="96" t="s">
        <v>353</v>
      </c>
      <c r="J29" s="96" t="s">
        <v>356</v>
      </c>
      <c r="K29" s="97" t="s">
        <v>357</v>
      </c>
      <c r="L29" s="100" t="s">
        <v>19</v>
      </c>
      <c r="M29" s="100" t="s">
        <v>231</v>
      </c>
      <c r="N29" s="100" t="s">
        <v>232</v>
      </c>
      <c r="O29" s="100" t="s">
        <v>233</v>
      </c>
      <c r="P29" s="100" t="s">
        <v>234</v>
      </c>
    </row>
    <row r="30" spans="1:16" ht="12.75" customHeight="1" x14ac:dyDescent="0.2">
      <c r="I30" s="98" t="s">
        <v>336</v>
      </c>
      <c r="J30" s="7" t="s">
        <v>344</v>
      </c>
      <c r="K30" s="19" t="s">
        <v>325</v>
      </c>
      <c r="L30" s="99" t="e">
        <f>ESTADO!B2/'EST SIT FIN'!C8</f>
        <v>#DIV/0!</v>
      </c>
      <c r="M30" s="99" t="e">
        <f>ESTADO!C2/'EST SIT FIN'!D8</f>
        <v>#DIV/0!</v>
      </c>
      <c r="N30" s="99" t="e">
        <f>ESTADO!D2/'EST SIT FIN'!E8</f>
        <v>#DIV/0!</v>
      </c>
      <c r="O30" s="99" t="e">
        <f>ESTADO!E2/'EST SIT FIN'!F8</f>
        <v>#DIV/0!</v>
      </c>
      <c r="P30" s="99" t="e">
        <f>ESTADO!F2/'EST SIT FIN'!G8</f>
        <v>#DIV/0!</v>
      </c>
    </row>
    <row r="31" spans="1:16" ht="12.75" customHeight="1" x14ac:dyDescent="0.2">
      <c r="I31" s="7" t="s">
        <v>337</v>
      </c>
      <c r="J31" s="7" t="s">
        <v>329</v>
      </c>
      <c r="K31" s="19" t="s">
        <v>325</v>
      </c>
      <c r="L31" s="99" t="e">
        <f>ESTADO!B2/'EST SIT FIN'!C18</f>
        <v>#DIV/0!</v>
      </c>
      <c r="M31" s="99" t="e">
        <f>ESTADO!C2/'EST SIT FIN'!D18</f>
        <v>#DIV/0!</v>
      </c>
      <c r="N31" s="99" t="e">
        <f>ESTADO!D2/'EST SIT FIN'!E18</f>
        <v>#DIV/0!</v>
      </c>
      <c r="O31" s="99" t="e">
        <f>ESTADO!E2/'EST SIT FIN'!F18</f>
        <v>#DIV/0!</v>
      </c>
      <c r="P31" s="99">
        <f>IF('EST SIT FIN'!G18=0,0,ESTADO!F2/'EST SIT FIN'!G18)</f>
        <v>0</v>
      </c>
    </row>
    <row r="32" spans="1:16" ht="12.75" customHeight="1" x14ac:dyDescent="0.2">
      <c r="I32" s="7" t="s">
        <v>338</v>
      </c>
      <c r="J32" s="7" t="s">
        <v>330</v>
      </c>
      <c r="K32" s="19" t="s">
        <v>325</v>
      </c>
      <c r="L32" s="99" t="e">
        <f>ESTADO!B2/'EST SIT FIN'!C22</f>
        <v>#DIV/0!</v>
      </c>
      <c r="M32" s="99" t="e">
        <f>ESTADO!C2/'EST SIT FIN'!D22</f>
        <v>#DIV/0!</v>
      </c>
      <c r="N32" s="99" t="e">
        <f>ESTADO!D2/'EST SIT FIN'!E22</f>
        <v>#DIV/0!</v>
      </c>
      <c r="O32" s="99" t="e">
        <f>ESTADO!E2/'EST SIT FIN'!F22</f>
        <v>#DIV/0!</v>
      </c>
      <c r="P32" s="99" t="e">
        <f>ESTADO!F2/'EST SIT FIN'!G22</f>
        <v>#DIV/0!</v>
      </c>
    </row>
    <row r="33" spans="1:16" x14ac:dyDescent="0.2">
      <c r="G33" s="91" t="s">
        <v>323</v>
      </c>
    </row>
    <row r="34" spans="1:16" ht="12.75" customHeight="1" x14ac:dyDescent="0.25">
      <c r="I34" s="96" t="s">
        <v>354</v>
      </c>
      <c r="J34" s="96" t="s">
        <v>356</v>
      </c>
      <c r="K34" s="97" t="s">
        <v>357</v>
      </c>
      <c r="L34" s="100" t="s">
        <v>19</v>
      </c>
      <c r="M34" s="100" t="s">
        <v>231</v>
      </c>
      <c r="N34" s="100" t="s">
        <v>232</v>
      </c>
      <c r="O34" s="100" t="s">
        <v>233</v>
      </c>
      <c r="P34" s="100" t="s">
        <v>234</v>
      </c>
    </row>
    <row r="35" spans="1:16" ht="12.75" customHeight="1" x14ac:dyDescent="0.2">
      <c r="I35" s="98" t="s">
        <v>339</v>
      </c>
      <c r="J35" s="98" t="s">
        <v>345</v>
      </c>
      <c r="K35" s="19" t="s">
        <v>331</v>
      </c>
      <c r="L35" s="101" t="e">
        <f>'EST SIT FIN'!C32/'EST SIT FIN'!C22</f>
        <v>#DIV/0!</v>
      </c>
      <c r="M35" s="101" t="e">
        <f>'EST SIT FIN'!D32/'EST SIT FIN'!D22</f>
        <v>#DIV/0!</v>
      </c>
      <c r="N35" s="101" t="e">
        <f>'EST SIT FIN'!E32/'EST SIT FIN'!E22</f>
        <v>#DIV/0!</v>
      </c>
      <c r="O35" s="101" t="e">
        <f>'EST SIT FIN'!F32/'EST SIT FIN'!F22</f>
        <v>#DIV/0!</v>
      </c>
      <c r="P35" s="101" t="e">
        <f>'EST SIT FIN'!G32/'EST SIT FIN'!G22</f>
        <v>#DIV/0!</v>
      </c>
    </row>
    <row r="36" spans="1:16" ht="12.75" customHeight="1" x14ac:dyDescent="0.2">
      <c r="I36" s="7" t="s">
        <v>340</v>
      </c>
      <c r="J36" s="98" t="s">
        <v>332</v>
      </c>
      <c r="K36" s="19" t="s">
        <v>325</v>
      </c>
      <c r="L36" s="99">
        <f>IF(ESTADO!B14=0,0,-ESTADO!B13/ESTADO!B14)</f>
        <v>0</v>
      </c>
      <c r="M36" s="99">
        <f>IF(ESTADO!C14=0,0,-ESTADO!C13/ESTADO!C14)</f>
        <v>0</v>
      </c>
      <c r="N36" s="99">
        <f>IF(ESTADO!D14=0,0,-ESTADO!D13/ESTADO!D14)</f>
        <v>0</v>
      </c>
      <c r="O36" s="99">
        <f>IF(ESTADO!E14=0,0,-ESTADO!E13/ESTADO!E14)</f>
        <v>0</v>
      </c>
      <c r="P36" s="99">
        <f>IF(ESTADO!F14=0,0,-ESTADO!F13/ESTADO!F14)</f>
        <v>0</v>
      </c>
    </row>
    <row r="37" spans="1:16" ht="12.75" customHeight="1" x14ac:dyDescent="0.2">
      <c r="I37" s="7" t="s">
        <v>341</v>
      </c>
      <c r="J37" s="98" t="s">
        <v>346</v>
      </c>
      <c r="K37" s="19" t="s">
        <v>331</v>
      </c>
      <c r="L37" s="101" t="e">
        <f>'EST SIT FIN'!C39/'EST SIT FIN'!C22</f>
        <v>#DIV/0!</v>
      </c>
      <c r="M37" s="101" t="e">
        <f>'EST SIT FIN'!D39/'EST SIT FIN'!D22</f>
        <v>#DIV/0!</v>
      </c>
      <c r="N37" s="101" t="e">
        <f>'EST SIT FIN'!E39/'EST SIT FIN'!E22</f>
        <v>#DIV/0!</v>
      </c>
      <c r="O37" s="101" t="e">
        <f>'EST SIT FIN'!F39/'EST SIT FIN'!F22</f>
        <v>#DIV/0!</v>
      </c>
      <c r="P37" s="101" t="e">
        <f>'EST SIT FIN'!G39/'EST SIT FIN'!G22</f>
        <v>#DIV/0!</v>
      </c>
    </row>
    <row r="38" spans="1:16" ht="12.75" customHeight="1" x14ac:dyDescent="0.2"/>
    <row r="39" spans="1:16" ht="12.75" customHeight="1" x14ac:dyDescent="0.25">
      <c r="I39" s="96" t="s">
        <v>355</v>
      </c>
      <c r="J39" s="96" t="s">
        <v>356</v>
      </c>
      <c r="K39" s="97" t="s">
        <v>357</v>
      </c>
      <c r="L39" s="100" t="s">
        <v>19</v>
      </c>
      <c r="M39" s="100" t="s">
        <v>231</v>
      </c>
      <c r="N39" s="100" t="s">
        <v>232</v>
      </c>
      <c r="O39" s="100" t="s">
        <v>233</v>
      </c>
      <c r="P39" s="100" t="s">
        <v>234</v>
      </c>
    </row>
    <row r="40" spans="1:16" ht="12.75" customHeight="1" x14ac:dyDescent="0.2">
      <c r="I40" s="98" t="s">
        <v>378</v>
      </c>
      <c r="J40" s="98" t="s">
        <v>347</v>
      </c>
      <c r="K40" s="19" t="s">
        <v>331</v>
      </c>
      <c r="L40" s="101" t="e">
        <f>ESTADO!B9/ESTADO!B2</f>
        <v>#DIV/0!</v>
      </c>
      <c r="M40" s="101" t="e">
        <f>ESTADO!C9/ESTADO!C2</f>
        <v>#DIV/0!</v>
      </c>
      <c r="N40" s="101" t="e">
        <f>ESTADO!D9/ESTADO!D2</f>
        <v>#DIV/0!</v>
      </c>
      <c r="O40" s="101" t="e">
        <f>ESTADO!E9/ESTADO!E2</f>
        <v>#DIV/0!</v>
      </c>
      <c r="P40" s="101" t="e">
        <f>ESTADO!F9/ESTADO!F2</f>
        <v>#DIV/0!</v>
      </c>
    </row>
    <row r="41" spans="1:16" ht="12.75" customHeight="1" x14ac:dyDescent="0.2">
      <c r="I41" s="98" t="s">
        <v>342</v>
      </c>
      <c r="J41" s="98" t="s">
        <v>348</v>
      </c>
      <c r="K41" s="19" t="s">
        <v>331</v>
      </c>
      <c r="L41" s="101" t="e">
        <f>ESTADO!B19/ESTADO!B2</f>
        <v>#DIV/0!</v>
      </c>
      <c r="M41" s="101" t="e">
        <f>ESTADO!C19/ESTADO!C2</f>
        <v>#DIV/0!</v>
      </c>
      <c r="N41" s="101" t="e">
        <f>ESTADO!D19/ESTADO!D2</f>
        <v>#DIV/0!</v>
      </c>
      <c r="O41" s="101" t="e">
        <f>ESTADO!E19/ESTADO!E2</f>
        <v>#DIV/0!</v>
      </c>
      <c r="P41" s="101" t="e">
        <f>ESTADO!F19/ESTADO!F2</f>
        <v>#DIV/0!</v>
      </c>
    </row>
    <row r="42" spans="1:16" ht="12.75" customHeight="1" x14ac:dyDescent="0.2">
      <c r="I42" s="98" t="s">
        <v>343</v>
      </c>
      <c r="J42" s="98" t="s">
        <v>349</v>
      </c>
      <c r="K42" s="19" t="s">
        <v>331</v>
      </c>
      <c r="L42" s="101" t="e">
        <f>ESTADO!B19/'EST SIT FIN'!C22</f>
        <v>#DIV/0!</v>
      </c>
      <c r="M42" s="101" t="e">
        <f>ESTADO!C19/'EST SIT FIN'!D22</f>
        <v>#DIV/0!</v>
      </c>
      <c r="N42" s="101" t="e">
        <f>ESTADO!D19/'EST SIT FIN'!E22</f>
        <v>#DIV/0!</v>
      </c>
      <c r="O42" s="101" t="e">
        <f>ESTADO!E19/'EST SIT FIN'!F22</f>
        <v>#DIV/0!</v>
      </c>
      <c r="P42" s="101" t="e">
        <f>ESTADO!F19/'EST SIT FIN'!G22</f>
        <v>#DIV/0!</v>
      </c>
    </row>
    <row r="45" spans="1:16" x14ac:dyDescent="0.2">
      <c r="A45" s="100" t="s">
        <v>309</v>
      </c>
      <c r="B45" s="105" t="s">
        <v>350</v>
      </c>
      <c r="C45" s="100" t="s">
        <v>351</v>
      </c>
    </row>
    <row r="46" spans="1:16" x14ac:dyDescent="0.2">
      <c r="A46" s="13" t="s">
        <v>246</v>
      </c>
      <c r="B46" s="13" t="s">
        <v>247</v>
      </c>
      <c r="C46" s="102" t="e">
        <f>B51/(B54-B52)</f>
        <v>#DIV/0!</v>
      </c>
    </row>
    <row r="47" spans="1:16" x14ac:dyDescent="0.2">
      <c r="A47" s="13" t="s">
        <v>248</v>
      </c>
      <c r="B47" s="13" t="s">
        <v>249</v>
      </c>
      <c r="C47" s="103" t="e">
        <f>B51/(B55-B56)</f>
        <v>#DIV/0!</v>
      </c>
    </row>
    <row r="48" spans="1:16" x14ac:dyDescent="0.2">
      <c r="A48" s="13" t="s">
        <v>250</v>
      </c>
      <c r="B48" s="13" t="s">
        <v>251</v>
      </c>
      <c r="C48" s="104" t="e">
        <f>B51/(1-(B52/B54))</f>
        <v>#DIV/0!</v>
      </c>
    </row>
    <row r="49" spans="1:8" x14ac:dyDescent="0.2">
      <c r="A49" s="13" t="s">
        <v>252</v>
      </c>
      <c r="B49" s="13" t="s">
        <v>253</v>
      </c>
      <c r="C49" s="103" t="e">
        <f>C48/(B57/B58)</f>
        <v>#DIV/0!</v>
      </c>
    </row>
    <row r="51" spans="1:8" x14ac:dyDescent="0.2">
      <c r="A51" s="13" t="s">
        <v>254</v>
      </c>
      <c r="B51" s="63">
        <f>CTP!D105+GAV!D60</f>
        <v>0</v>
      </c>
      <c r="D51" s="5" t="s">
        <v>264</v>
      </c>
      <c r="E51" s="13">
        <v>0</v>
      </c>
      <c r="F51" s="13" t="e">
        <f>G51/2</f>
        <v>#DIV/0!</v>
      </c>
      <c r="G51" s="13" t="e">
        <f>C47</f>
        <v>#DIV/0!</v>
      </c>
      <c r="H51" s="13" t="e">
        <f>F51*3</f>
        <v>#DIV/0!</v>
      </c>
    </row>
    <row r="52" spans="1:8" x14ac:dyDescent="0.2">
      <c r="A52" s="13" t="s">
        <v>255</v>
      </c>
      <c r="B52" s="63">
        <f>CTP!D106+GAV!D61</f>
        <v>0</v>
      </c>
      <c r="D52" s="5" t="s">
        <v>38</v>
      </c>
      <c r="E52" s="13" t="e">
        <f>E51*$B$55</f>
        <v>#DIV/0!</v>
      </c>
      <c r="F52" s="13" t="e">
        <f t="shared" ref="F52:H52" si="0">F51*$B$55</f>
        <v>#DIV/0!</v>
      </c>
      <c r="G52" s="13" t="e">
        <f t="shared" si="0"/>
        <v>#DIV/0!</v>
      </c>
      <c r="H52" s="13" t="e">
        <f t="shared" si="0"/>
        <v>#DIV/0!</v>
      </c>
    </row>
    <row r="53" spans="1:8" x14ac:dyDescent="0.2">
      <c r="A53" s="13" t="s">
        <v>256</v>
      </c>
      <c r="B53" s="63">
        <f>SUM(B51:B52)</f>
        <v>0</v>
      </c>
      <c r="D53" s="13" t="s">
        <v>21</v>
      </c>
      <c r="E53" s="13">
        <f>$B$51</f>
        <v>0</v>
      </c>
      <c r="F53" s="13">
        <f t="shared" ref="F53:H53" si="1">$B$51</f>
        <v>0</v>
      </c>
      <c r="G53" s="13">
        <f t="shared" si="1"/>
        <v>0</v>
      </c>
      <c r="H53" s="13">
        <f t="shared" si="1"/>
        <v>0</v>
      </c>
    </row>
    <row r="54" spans="1:8" x14ac:dyDescent="0.2">
      <c r="A54" s="13" t="s">
        <v>257</v>
      </c>
      <c r="B54" s="63" t="e">
        <f>ESTADO!B4</f>
        <v>#DIV/0!</v>
      </c>
      <c r="D54" s="13" t="s">
        <v>23</v>
      </c>
      <c r="E54" s="13">
        <v>0</v>
      </c>
      <c r="F54" s="13" t="e">
        <f>F51*$B$56</f>
        <v>#DIV/0!</v>
      </c>
      <c r="G54" s="13" t="e">
        <f t="shared" ref="G54:H54" si="2">G51*$B$56</f>
        <v>#DIV/0!</v>
      </c>
      <c r="H54" s="13" t="e">
        <f t="shared" si="2"/>
        <v>#DIV/0!</v>
      </c>
    </row>
    <row r="55" spans="1:8" x14ac:dyDescent="0.2">
      <c r="A55" s="13" t="s">
        <v>258</v>
      </c>
      <c r="B55" s="63" t="e">
        <f>PRECIO!C9</f>
        <v>#DIV/0!</v>
      </c>
      <c r="D55" s="13" t="s">
        <v>39</v>
      </c>
      <c r="E55" s="13">
        <f>SUM(E53:E54)</f>
        <v>0</v>
      </c>
      <c r="F55" s="13" t="e">
        <f t="shared" ref="F55:H55" si="3">SUM(F53:F54)</f>
        <v>#DIV/0!</v>
      </c>
      <c r="G55" s="13" t="e">
        <f t="shared" si="3"/>
        <v>#DIV/0!</v>
      </c>
      <c r="H55" s="13" t="e">
        <f t="shared" si="3"/>
        <v>#DIV/0!</v>
      </c>
    </row>
    <row r="56" spans="1:8" x14ac:dyDescent="0.2">
      <c r="A56" s="13" t="s">
        <v>259</v>
      </c>
      <c r="B56" s="63" t="e">
        <f>B52/B59</f>
        <v>#DIV/0!</v>
      </c>
      <c r="D56" s="13" t="s">
        <v>40</v>
      </c>
      <c r="E56" s="13" t="e">
        <f>E52-E55</f>
        <v>#DIV/0!</v>
      </c>
      <c r="F56" s="13" t="e">
        <f>F52-F55</f>
        <v>#DIV/0!</v>
      </c>
      <c r="G56" s="13" t="e">
        <f>G52-G55</f>
        <v>#DIV/0!</v>
      </c>
      <c r="H56" s="13" t="e">
        <f>H52-H55</f>
        <v>#DIV/0!</v>
      </c>
    </row>
    <row r="57" spans="1:8" x14ac:dyDescent="0.2">
      <c r="A57" s="13" t="s">
        <v>260</v>
      </c>
      <c r="B57" s="63" t="e">
        <f>ESTADO!B2</f>
        <v>#DIV/0!</v>
      </c>
    </row>
    <row r="58" spans="1:8" x14ac:dyDescent="0.2">
      <c r="A58" s="13" t="s">
        <v>261</v>
      </c>
      <c r="B58" s="114">
        <v>360</v>
      </c>
    </row>
    <row r="59" spans="1:8" x14ac:dyDescent="0.2">
      <c r="A59" s="13" t="s">
        <v>205</v>
      </c>
      <c r="B59" s="13">
        <f>EST.TÉCNICO!C8</f>
        <v>0</v>
      </c>
    </row>
    <row r="60" spans="1:8" x14ac:dyDescent="0.2">
      <c r="A60" s="70"/>
      <c r="B60" s="70"/>
    </row>
    <row r="67" spans="11:11" x14ac:dyDescent="0.2">
      <c r="K67" s="14" t="s">
        <v>50</v>
      </c>
    </row>
  </sheetData>
  <sheetProtection sheet="1"/>
  <pageMargins left="0.7" right="0.7" top="0.75" bottom="0.75" header="0.3" footer="0.3"/>
  <pageSetup paperSize="9" orientation="portrait" horizontalDpi="0" verticalDpi="0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12</vt:i4>
      </vt:variant>
    </vt:vector>
  </HeadingPairs>
  <TitlesOfParts>
    <vt:vector size="12" baseType="lpstr">
      <vt:lpstr>INICIO</vt:lpstr>
      <vt:lpstr>EST.MERCADOS</vt:lpstr>
      <vt:lpstr>EST.TÉCNICO</vt:lpstr>
      <vt:lpstr>INVERSIÓN</vt:lpstr>
      <vt:lpstr>CRÉDITO</vt:lpstr>
      <vt:lpstr>CTP</vt:lpstr>
      <vt:lpstr>GAV</vt:lpstr>
      <vt:lpstr>PRECIO</vt:lpstr>
      <vt:lpstr>ESTADO</vt:lpstr>
      <vt:lpstr>FLUJO</vt:lpstr>
      <vt:lpstr>EST SIT FIN</vt:lpstr>
      <vt:lpstr>EVAL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2014-12-17T21:14:37Z</dcterms:created>
  <dcterms:modified xsi:type="dcterms:W3CDTF">2026-04-07T20:20:15Z</dcterms:modified>
</cp:coreProperties>
</file>